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ЭтаКнига" defaultThemeVersion="124226"/>
  <bookViews>
    <workbookView xWindow="90" yWindow="0" windowWidth="15480" windowHeight="9660" firstSheet="4" activeTab="9"/>
  </bookViews>
  <sheets>
    <sheet name="№1" sheetId="42" r:id="rId1"/>
    <sheet name="№2" sheetId="155" r:id="rId2"/>
    <sheet name="№3" sheetId="143" r:id="rId3"/>
    <sheet name="№4" sheetId="144" r:id="rId4"/>
    <sheet name="№5" sheetId="145" r:id="rId5"/>
    <sheet name="№6" sheetId="146" r:id="rId6"/>
    <sheet name="№7" sheetId="147" r:id="rId7"/>
    <sheet name="№8" sheetId="151" r:id="rId8"/>
    <sheet name="№9" sheetId="153" r:id="rId9"/>
    <sheet name="№10" sheetId="154" r:id="rId10"/>
  </sheets>
  <definedNames>
    <definedName name="_xlnm.Print_Area" localSheetId="9">'№10'!$A$1:$P$23</definedName>
    <definedName name="_xlnm.Print_Area" localSheetId="1">'№2'!$A$1:$E$156</definedName>
    <definedName name="_xlnm.Print_Area" localSheetId="3">'№4'!$A$1:$H$578</definedName>
    <definedName name="_xlnm.Print_Titles" localSheetId="1">'№2'!$6:$7</definedName>
  </definedNames>
  <calcPr calcId="124519"/>
</workbook>
</file>

<file path=xl/sharedStrings.xml><?xml version="1.0" encoding="utf-8"?>
<sst xmlns="http://schemas.openxmlformats.org/spreadsheetml/2006/main" count="6656" uniqueCount="1004">
  <si>
    <t>Другие вопросы в области физической культуры и спорта</t>
  </si>
  <si>
    <t>Всего:</t>
  </si>
  <si>
    <t>Обеспечивающая подпрограмма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</si>
  <si>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</si>
  <si>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Торжокская городская Дума</t>
  </si>
  <si>
    <t>Расходы на обеспечение деятельности и иные расходы представительного органа муниципального образования город Торжок</t>
  </si>
  <si>
    <t>1</t>
  </si>
  <si>
    <t>008</t>
  </si>
  <si>
    <t>0501</t>
  </si>
  <si>
    <t>Жилищное хозяйство</t>
  </si>
  <si>
    <t>0409</t>
  </si>
  <si>
    <t>Комитет по физкультуре, спорту и молодежной политике администрации муниципального образования город Торжок</t>
  </si>
  <si>
    <t>Обеспечение деятельности финансовых, налоговых и таможенных органов и органов финансового (финансово-бюджетного) надзора</t>
  </si>
  <si>
    <t>Резервные фонды</t>
  </si>
  <si>
    <t>011</t>
  </si>
  <si>
    <t>Дошкольное образование</t>
  </si>
  <si>
    <t>Общее образование</t>
  </si>
  <si>
    <t>Другие вопросы в области образования</t>
  </si>
  <si>
    <t>Культура</t>
  </si>
  <si>
    <t>006</t>
  </si>
  <si>
    <t>Защита населения и территории от  чрезвычайных ситуаций природного и техногенного характера, гражданская оборона</t>
  </si>
  <si>
    <t>ППП</t>
  </si>
  <si>
    <t>КЦСР</t>
  </si>
  <si>
    <t>КВР</t>
  </si>
  <si>
    <t>Наименование</t>
  </si>
  <si>
    <t>001</t>
  </si>
  <si>
    <t>Общегосударственные вопросы</t>
  </si>
  <si>
    <t>Приложение  1</t>
  </si>
  <si>
    <t>Источники  финансирования  дефицита  бюджета</t>
  </si>
  <si>
    <t>000 01 05 00 00 00 0000 000</t>
  </si>
  <si>
    <t>000 01 05 00 00 00 0000 500</t>
  </si>
  <si>
    <t>Увеличение остатков средств бюджетов</t>
  </si>
  <si>
    <t>000 01 05 02 00 00 0000 500</t>
  </si>
  <si>
    <t>Увеличение прочих остатков  средств  бюджетов</t>
  </si>
  <si>
    <t>000 01 05 02 01 04 0000 510</t>
  </si>
  <si>
    <t>Увеличение прочих остатков  денежных средств  бюджетов городских округов</t>
  </si>
  <si>
    <t>000 01 05 00 00 00 0000 600</t>
  </si>
  <si>
    <t>Уменьшение остатков средств бюджетов</t>
  </si>
  <si>
    <t>000 01 05 02 00 00 0000 600</t>
  </si>
  <si>
    <t>Уменьшение прочих остатков  средств  бюджетов</t>
  </si>
  <si>
    <t>000 01 05 02 01 04 0000 610</t>
  </si>
  <si>
    <t>Уменьшение прочих остатков  денежных средств  бюджетов городских округов</t>
  </si>
  <si>
    <t>Итого источники финансирования дефицита бюджета</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</si>
  <si>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</si>
  <si>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</si>
  <si>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</si>
  <si>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</si>
  <si>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безопасность и правоохранительная деятельность</t>
  </si>
  <si>
    <t>Национальная экономика</t>
  </si>
  <si>
    <t>Другие вопросы в области национальной экономики</t>
  </si>
  <si>
    <t>Жилищно-коммунальное хозяйство</t>
  </si>
  <si>
    <t>Коммунальное хозяйство</t>
  </si>
  <si>
    <t>Благоустройство</t>
  </si>
  <si>
    <t>Образование</t>
  </si>
  <si>
    <t>Молодежная политика и оздоровление детей</t>
  </si>
  <si>
    <t>Физическая культура и спорт</t>
  </si>
  <si>
    <t>Социальная политика</t>
  </si>
  <si>
    <t>Пенсионное обеспечение</t>
  </si>
  <si>
    <t>005</t>
  </si>
  <si>
    <t>Социальное обеспечение населения</t>
  </si>
  <si>
    <t>002</t>
  </si>
  <si>
    <t>РП</t>
  </si>
  <si>
    <t>0700</t>
  </si>
  <si>
    <t>0707</t>
  </si>
  <si>
    <t>1000</t>
  </si>
  <si>
    <t>1003</t>
  </si>
  <si>
    <t>0800</t>
  </si>
  <si>
    <t>0801</t>
  </si>
  <si>
    <t>0102</t>
  </si>
  <si>
    <t>0103</t>
  </si>
  <si>
    <t>0104</t>
  </si>
  <si>
    <t>0106</t>
  </si>
  <si>
    <t>0111</t>
  </si>
  <si>
    <t>0309</t>
  </si>
  <si>
    <t>0412</t>
  </si>
  <si>
    <t>0502</t>
  </si>
  <si>
    <t>0503</t>
  </si>
  <si>
    <t>0701</t>
  </si>
  <si>
    <t>0702</t>
  </si>
  <si>
    <t>0709</t>
  </si>
  <si>
    <t>1001</t>
  </si>
  <si>
    <t>0100</t>
  </si>
  <si>
    <t>0300</t>
  </si>
  <si>
    <t>0400</t>
  </si>
  <si>
    <t>0500</t>
  </si>
  <si>
    <t>ВСЕГО</t>
  </si>
  <si>
    <t>Функционирование высшего должностного лица субъекта Российской Федерации и муниципального образования</t>
  </si>
  <si>
    <t>0113</t>
  </si>
  <si>
    <t>1100</t>
  </si>
  <si>
    <t>Массовый спорт</t>
  </si>
  <si>
    <t>Средства массовой информации</t>
  </si>
  <si>
    <t>1204</t>
  </si>
  <si>
    <t>Другие вопросы в области средств массовой информации</t>
  </si>
  <si>
    <t/>
  </si>
  <si>
    <t>Пенсии за выслугу лет к трудовой пенсии по старости (инвалидности) лицам, замещавшим должности муниципальной службы муниципального образования город Торжок</t>
  </si>
  <si>
    <t>100</t>
  </si>
  <si>
    <t>200</t>
  </si>
  <si>
    <t>800</t>
  </si>
  <si>
    <t>Иные бюджетные ассигнования</t>
  </si>
  <si>
    <t>400</t>
  </si>
  <si>
    <t>300</t>
  </si>
  <si>
    <t>Социальное обеспечение и иные выплаты населению</t>
  </si>
  <si>
    <t>0304</t>
  </si>
  <si>
    <t>Органы юстиции</t>
  </si>
  <si>
    <t>2</t>
  </si>
  <si>
    <t>3</t>
  </si>
  <si>
    <t>4</t>
  </si>
  <si>
    <t>5</t>
  </si>
  <si>
    <t>6</t>
  </si>
  <si>
    <t>9</t>
  </si>
  <si>
    <t>10</t>
  </si>
  <si>
    <t xml:space="preserve">Культура,  кинематография </t>
  </si>
  <si>
    <t>администрация муниципального образования город Торжок</t>
  </si>
  <si>
    <t>Изменение остатков средств на счетах  по учету средств бюджета</t>
  </si>
  <si>
    <t>Подпрограмма "Модернизация дошкольного и общего образования, как института социального развития"</t>
  </si>
  <si>
    <t>Предоставление общедоступного и бесплатного  дошкольного образования  в муниципальных бюджетных дошкольных  образовательных учреждениях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</si>
  <si>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</si>
  <si>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Предоставление субсидий бюджетным, автономным учреждениям и иным некоммерческим организациям</t>
  </si>
  <si>
    <t>Предоставление общедоступного и бесплатного  начального общего, основного общего, среднего (полного) общего образования   в муниципальных бюджетных общеобразовательных учреждениях</t>
  </si>
  <si>
    <t>Предоставление дополнительного образования   детям в муниципальных бюджетных образовательных учреждениях</t>
  </si>
  <si>
    <t>Предоставление дополнительного образования  спортивной направленности  детям в муниципальных бюджетных образовательных учреждениях</t>
  </si>
  <si>
    <t>Обеспечение комплексной безопасности зданий и помещений муниципальных бюджетных дошкольных образовательных учреждений</t>
  </si>
  <si>
    <t>Обеспечение комплексной безопасности зданий и помещений муниципальных бюджетных общеобразовательных учреждений</t>
  </si>
  <si>
    <t>Организация обеспечения учащихся начальных классов муниципальных общеобразовательных учреждений города Торжка горячим питанием</t>
  </si>
  <si>
    <t>Расходы на финансовое обеспечение деятельности отделов Управление образования администрации города Торжка Тверской области</t>
  </si>
  <si>
    <t>Расходы на финансовое обеспечение деятельности муниципального казенного учреждения города Торжка "Централизованная бухгалтерия"</t>
  </si>
  <si>
    <t>1004</t>
  </si>
  <si>
    <t>Охрана семьи и детства</t>
  </si>
  <si>
    <t>Компенсация части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</si>
  <si>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</si>
  <si>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Подпрограмма "Организация бюджетного процесса"</t>
  </si>
  <si>
    <t>Мероприятия, связанные с организацией и использованием канала связи в целях осуществления электронного документооборота</t>
  </si>
  <si>
    <t>Резервный фонд администрации муниципального образования город Торжок</t>
  </si>
  <si>
    <t>08</t>
  </si>
  <si>
    <t>Поддержка способной инициативной и талантливой молодежи</t>
  </si>
  <si>
    <t>Проведение смотра-конкурса на лучшее студенческое общежитие города Торжка</t>
  </si>
  <si>
    <t>Предоставление услуг в сфере социальной помощи молодежи</t>
  </si>
  <si>
    <t>Проведение городского молодежного туристического слета</t>
  </si>
  <si>
    <t>Развитие и повышение эффективности функционирования муниципальной системы профилактики безнадзорности и правонарушений несовершеннолетних</t>
  </si>
  <si>
    <t>Подпрограмма "Массовая физкультурно-оздоровительная и спортивная работа"</t>
  </si>
  <si>
    <t>Предоставление дополнительного образования спортивной направленности детям  в специализированной детско-юношеской спортивной школе олимпийского резерва</t>
  </si>
  <si>
    <t>1102</t>
  </si>
  <si>
    <t>Организация проведения спортивно-массовых мероприятий и соревнований</t>
  </si>
  <si>
    <t xml:space="preserve">Создание условий для занятий физической культурой и спортом населения в муниципальном  физкультурно-оздоровительном комплексе </t>
  </si>
  <si>
    <t>Субсидии на иные цели муниципальному физкультурно-оздоровительному комплексу на поддержку в организации занятий льготных категорий граждан</t>
  </si>
  <si>
    <t>1105</t>
  </si>
  <si>
    <t>05</t>
  </si>
  <si>
    <t>Подпрограмма "Управление муниципальным имуществом и земельными ресурсами муниципального образования город Торжок"</t>
  </si>
  <si>
    <t>Содержание имущества казны муниципального образования город Торжок</t>
  </si>
  <si>
    <t>Формирование земельных участков, находящихся в ведении муниципального образования город Торжок</t>
  </si>
  <si>
    <t>Муниципальная программа муниципального образования город Торжок «Развитие культуры города Торжка» на  2014  - 2019 годы</t>
  </si>
  <si>
    <t>Подпрограмма "Сохранение и развитие культурного потенциала муниципального образования город Торжок"</t>
  </si>
  <si>
    <t>Комплектование библиотечного фонда муниципального казенного учреждения культуры города Торжка "ЦБС"</t>
  </si>
  <si>
    <t>Организации досуга и обеспечение жителей города услугами организаций культуры</t>
  </si>
  <si>
    <t>Подпрограмма "Социальная поддержка населения города Торжка"</t>
  </si>
  <si>
    <t>Подпрограмма "Поддержка общественного сектора и обеспечение информационной открытости органов местного самоуправления муниципального образования город Торжок"</t>
  </si>
  <si>
    <t>Проведение конкурсов по итогам года "Лучший по профессии" и "Новотор года"</t>
  </si>
  <si>
    <t>Организационное обеспечение проведения мероприятий с участием Главы города</t>
  </si>
  <si>
    <t>Подпрограмма "Обеспечение развития инвестиционного потенциала муниципального образования город Торжок и совершенствование системы программно-целевого планирования и прогнозирования социально-экономического развития муниципального образования город Торжок"</t>
  </si>
  <si>
    <t>Представление муниципального образования город Торжок в работе Ассоциации "Совет муниципальных образований Тверской области"</t>
  </si>
  <si>
    <t>Расходы на предоставление статистической информации территориальным органом Федеральной службы государственной статистики по Тверской области</t>
  </si>
  <si>
    <t>Подпрограмма "Повышение правопорядка и общественной безопасности в городе Торжке"</t>
  </si>
  <si>
    <t>Подпрограмма "Снижение рисков и смягчение последствий чрезвычайных ситуаций на территории города Торжка"</t>
  </si>
  <si>
    <t xml:space="preserve">Предоставление муниципальных услуг  в сфере защиты населения и территорий от чрезвычайных ситуаций </t>
  </si>
  <si>
    <t>Подпрограмма "Содействие развитию субъектов малого и среднего предпринимательства в городе Торжке"</t>
  </si>
  <si>
    <t>Организация и проведение ежегодного смотра-конкурса "Лучшее новогоднее оформление предприятий потребительского рынка"</t>
  </si>
  <si>
    <t>Подпрограмма "Развитие туристской привлекательности города Торжка"</t>
  </si>
  <si>
    <t>Проведение мероприятий, направленных на привлечение туристского потока в город Торжок</t>
  </si>
  <si>
    <t>Участие муниципального образования в российских выставочно-конгрессных мероприятиях в сфере туризма</t>
  </si>
  <si>
    <t>Подпрограмма "Содействие в обеспечении жильем молодых семей"</t>
  </si>
  <si>
    <t>Предоставление социальных выплат молодым семьям на улучшение жилищных условий</t>
  </si>
  <si>
    <t>Подпрограмма "Организация благоустройства территории муниципального образования город Торжок"</t>
  </si>
  <si>
    <t>Уличное освещение</t>
  </si>
  <si>
    <t>Развитие и содержание сетей уличного освещения в границах города</t>
  </si>
  <si>
    <t>Проведение мероприятий по озеленению улиц города</t>
  </si>
  <si>
    <t>Ликвидация несанкционированных свалок на территории муниципального образования город Торжок</t>
  </si>
  <si>
    <t>0405</t>
  </si>
  <si>
    <t>Сельское хозяйство и рыболовство</t>
  </si>
  <si>
    <t>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</si>
  <si>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Предоставление дополнительного образования детей в области культуры</t>
  </si>
  <si>
    <t>ПП</t>
  </si>
  <si>
    <t>МП</t>
  </si>
  <si>
    <t>01</t>
  </si>
  <si>
    <t>02</t>
  </si>
  <si>
    <t>03</t>
  </si>
  <si>
    <t>04</t>
  </si>
  <si>
    <t>06</t>
  </si>
  <si>
    <t>07</t>
  </si>
  <si>
    <t>09</t>
  </si>
  <si>
    <t>99</t>
  </si>
  <si>
    <t>Реализация отдельных мероприятий по автоматизации бюджетного процесса, включая управление закупками и информационно-правовое обеспечение бюджетного процесса</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</si>
  <si>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</si>
  <si>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Муниципальная программа муниципального образования город Торжок  «Муниципальное управление и гражданское общество» на  2014  - 2019 годы</t>
  </si>
  <si>
    <t>Субсидии юридическим лицам на возмещение части затрат, связанных с производством, выпуском и распространением периодических печатных изданий (газет), в отношении которых муниципальное образование город Торжок не является учредителем (соучредителем)</t>
  </si>
  <si>
    <t>Капитальный ремонт общего имущества многоквартирных жилых домов в части доли имущества, находящегося в муниципальной собственности</t>
  </si>
  <si>
    <t>Организация и обеспечение отдыха и оздоровление детей города Торжка</t>
  </si>
  <si>
    <t>Оказание адресной материальной помощи отдельным категориям граждан</t>
  </si>
  <si>
    <t>Выполнение работ по восстановлению изношенных покрытий автомобильных дорог общего пользования местного значения города Торжка (ямочный ремонт)</t>
  </si>
  <si>
    <t>Содействие в материально-техническом оснащении и ремонте специализированной детско-юношеской спортивной школы олимпийского резерва</t>
  </si>
  <si>
    <t>Содействие в организации добровольческой деятельности молодежи</t>
  </si>
  <si>
    <t>0800000000</t>
  </si>
  <si>
    <t>0890000000</t>
  </si>
  <si>
    <t>089012011О</t>
  </si>
  <si>
    <t>089012012О</t>
  </si>
  <si>
    <t>089012013О</t>
  </si>
  <si>
    <t>089011051О</t>
  </si>
  <si>
    <t>0810000000</t>
  </si>
  <si>
    <t>081022001Б</t>
  </si>
  <si>
    <t>0820000000</t>
  </si>
  <si>
    <t>082012001Б</t>
  </si>
  <si>
    <t>082022002Б</t>
  </si>
  <si>
    <t>0830000000</t>
  </si>
  <si>
    <t>083012001Б</t>
  </si>
  <si>
    <t>0850000000</t>
  </si>
  <si>
    <t>085022002Б</t>
  </si>
  <si>
    <t>089011054О</t>
  </si>
  <si>
    <t>089015930О</t>
  </si>
  <si>
    <t>0840000000</t>
  </si>
  <si>
    <t>084012001М</t>
  </si>
  <si>
    <t>0500000000</t>
  </si>
  <si>
    <t>0540000000</t>
  </si>
  <si>
    <t>054021055Б</t>
  </si>
  <si>
    <t>0600000000</t>
  </si>
  <si>
    <t>0610000000</t>
  </si>
  <si>
    <t>061012001Б</t>
  </si>
  <si>
    <t>061022002Б</t>
  </si>
  <si>
    <t>061022005В</t>
  </si>
  <si>
    <t>0620000000</t>
  </si>
  <si>
    <t>062012005Б</t>
  </si>
  <si>
    <t>0700000000</t>
  </si>
  <si>
    <t>0710000000</t>
  </si>
  <si>
    <t>071022002Б</t>
  </si>
  <si>
    <t>071042003Б</t>
  </si>
  <si>
    <t>0720000000</t>
  </si>
  <si>
    <t>072012001Б</t>
  </si>
  <si>
    <t>072012002Б</t>
  </si>
  <si>
    <t>0400000000</t>
  </si>
  <si>
    <t>054012001Б</t>
  </si>
  <si>
    <t>054012002Б</t>
  </si>
  <si>
    <t>054012003Б</t>
  </si>
  <si>
    <t>054012004Б</t>
  </si>
  <si>
    <t>054022006Б</t>
  </si>
  <si>
    <t>0200000000</t>
  </si>
  <si>
    <t>0210000000</t>
  </si>
  <si>
    <t>021032002М</t>
  </si>
  <si>
    <t>021022001М</t>
  </si>
  <si>
    <t>021032003И</t>
  </si>
  <si>
    <t>021012001К</t>
  </si>
  <si>
    <t>021012010К</t>
  </si>
  <si>
    <t>0860000000</t>
  </si>
  <si>
    <t>086012001П</t>
  </si>
  <si>
    <t>085022002С</t>
  </si>
  <si>
    <t>086022003П</t>
  </si>
  <si>
    <t>086012002П</t>
  </si>
  <si>
    <t>085012003С</t>
  </si>
  <si>
    <t>085012004С</t>
  </si>
  <si>
    <t>1000000000</t>
  </si>
  <si>
    <t>1090000000</t>
  </si>
  <si>
    <t>109012012О</t>
  </si>
  <si>
    <t>992002000А</t>
  </si>
  <si>
    <t>1010000000</t>
  </si>
  <si>
    <t>101012001Б</t>
  </si>
  <si>
    <t>1030000000</t>
  </si>
  <si>
    <t>103032001Б</t>
  </si>
  <si>
    <t>0900000000</t>
  </si>
  <si>
    <t>0910000000</t>
  </si>
  <si>
    <t>099012012О</t>
  </si>
  <si>
    <t>091012010Б</t>
  </si>
  <si>
    <t>091012020Б</t>
  </si>
  <si>
    <t>0990000000</t>
  </si>
  <si>
    <t>091032040Б</t>
  </si>
  <si>
    <t>091012002В</t>
  </si>
  <si>
    <t>0430000000</t>
  </si>
  <si>
    <t>999002041Д</t>
  </si>
  <si>
    <t>999002042Д</t>
  </si>
  <si>
    <t>999002043Д</t>
  </si>
  <si>
    <t>0300000000</t>
  </si>
  <si>
    <t>0310000000</t>
  </si>
  <si>
    <t>031022002М</t>
  </si>
  <si>
    <t>031022003И</t>
  </si>
  <si>
    <t>0100000000</t>
  </si>
  <si>
    <t>0110000000</t>
  </si>
  <si>
    <t>0120000000</t>
  </si>
  <si>
    <t>012012001Б</t>
  </si>
  <si>
    <t>012012002Б</t>
  </si>
  <si>
    <t>012012001М</t>
  </si>
  <si>
    <t>012012001И</t>
  </si>
  <si>
    <t>012012002И</t>
  </si>
  <si>
    <t>0420000000</t>
  </si>
  <si>
    <t>031012001Б</t>
  </si>
  <si>
    <t>031012001М</t>
  </si>
  <si>
    <t>031012002И</t>
  </si>
  <si>
    <t>0390000000</t>
  </si>
  <si>
    <t>039012012О</t>
  </si>
  <si>
    <t>011012001М</t>
  </si>
  <si>
    <t>011012001И</t>
  </si>
  <si>
    <t>011012003И</t>
  </si>
  <si>
    <t>011011074М</t>
  </si>
  <si>
    <t>011022002М</t>
  </si>
  <si>
    <t>011032003М</t>
  </si>
  <si>
    <t>011032004М</t>
  </si>
  <si>
    <t>011022004И</t>
  </si>
  <si>
    <t>01102S023И</t>
  </si>
  <si>
    <t>011021075М</t>
  </si>
  <si>
    <t>0190000000</t>
  </si>
  <si>
    <t>019012012О</t>
  </si>
  <si>
    <t>019012001К</t>
  </si>
  <si>
    <t>019012002К</t>
  </si>
  <si>
    <t>011011050Б</t>
  </si>
  <si>
    <t>05401S028Б</t>
  </si>
  <si>
    <t>021012004К</t>
  </si>
  <si>
    <t>Сумма, тыс. руб.</t>
  </si>
  <si>
    <t>9900000000</t>
  </si>
  <si>
    <t>012012004Б</t>
  </si>
  <si>
    <t>Код БК РФ</t>
  </si>
  <si>
    <t>Финансовое обеспечение реализации государственных полномочий по созданию и организации деятельности комиссий по делам несовершеннолетних и защите их прав</t>
  </si>
  <si>
    <t>04301R082Г</t>
  </si>
  <si>
    <t>муниципального образования город Торжок на 2017 год и на плановый период 2018 и 2019 годов</t>
  </si>
  <si>
    <t>2017 год</t>
  </si>
  <si>
    <t>2018 год</t>
  </si>
  <si>
    <t>2019 год</t>
  </si>
  <si>
    <t>000 01 03 00 00 00 0000 000</t>
  </si>
  <si>
    <t>Бюджетные кредиты от других бюджетов бюджетной системы Российской Федерации</t>
  </si>
  <si>
    <t>000 01 03 01 00 00 0000 800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</si>
  <si>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</si>
  <si>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000 01 03 01 00 04 0000 810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</si>
  <si>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</si>
  <si>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Распределение бюджетных ассигнований  бюджета   
муниципального образования город Торжок  по разделам и подразделам классификации  
расходов бюджетов на 2017 год и на плановый период 2018 и 2019 годов</t>
  </si>
  <si>
    <t>плановый период</t>
  </si>
  <si>
    <t>Дорожное хозяйство (дорожные фонды)</t>
  </si>
  <si>
    <t>0703</t>
  </si>
  <si>
    <t>Дополнительное образование детей</t>
  </si>
  <si>
    <t>1200</t>
  </si>
  <si>
    <t>1300</t>
  </si>
  <si>
    <t>1301</t>
  </si>
  <si>
    <t>Обслуживание государственного внутреннего и муниципального долга</t>
  </si>
  <si>
    <t>Ведомственная структура расходов бюджета муниципального образования  город Торжок  
на 2017 год и на плановый период 2018 и 2019 годов</t>
  </si>
  <si>
    <t>7</t>
  </si>
  <si>
    <t>8</t>
  </si>
  <si>
    <t>Муниципальная программа муниципального образования город Торжок "Муниципальное управление и гражданское общество" на 2014-2019годы</t>
  </si>
  <si>
    <t>0890100000</t>
  </si>
  <si>
    <t>Обеспечение деятельности ответственного исполнителя и исполнителей программы</t>
  </si>
  <si>
    <t>Закупка товаров, работ и услуг для обеспечения  государственных (муниципальных ) нужд</t>
  </si>
  <si>
    <t>Расходы по центральному аппарату на выполнение полномочий муниципального образования, за исключением переданных государственных полномочий Российской Федерации и Тверской области</t>
  </si>
  <si>
    <t>Расходы по центральному аппарату на выполнение переданных муниципальному образованию государственных полномочий Российской Федерации и Тверской  области</t>
  </si>
  <si>
    <t>Подпрограмма "Создание условий для эффективного функционирования исполнения исполнительных органов местного самоуправления муниципального образования город  Торжок</t>
  </si>
  <si>
    <t>0810200000</t>
  </si>
  <si>
    <t>Задача "Организационное обеспечение эффективного выполнения органами местного самоуправления возложенных на них функций"</t>
  </si>
  <si>
    <t>081022003Б</t>
  </si>
  <si>
    <t>Разработка местных нормативов градостроительного проектирования муниципального образования город Торжок</t>
  </si>
  <si>
    <t>0820100000</t>
  </si>
  <si>
    <t>Задача "Формирование и поддержание позитивного имиджа муниципального образования город Торжок как города, благоприятного для инвестиционной и предпринимательской деятельности"</t>
  </si>
  <si>
    <t>0820200000</t>
  </si>
  <si>
    <t>Задача "Мониторинг социально-экономического развития муниципального образования город Торжок"</t>
  </si>
  <si>
    <t>0830100000</t>
  </si>
  <si>
    <t>Задача "Развитие системы профилактики правонарушений и преступлений в городе Торжке"</t>
  </si>
  <si>
    <t>Поощрение народных дружин за активное участие в охране общественного порядка</t>
  </si>
  <si>
    <t>0850200000</t>
  </si>
  <si>
    <t>Задача "Поддержка развития общественного сектора и обеспечение эффективного взаимодействия органов местного самоуправления с общественными институтами"</t>
  </si>
  <si>
    <t>Осуществление государственных полномочий на государственную регистрацию актов гражданского состояния</t>
  </si>
  <si>
    <t>Муниципальная программа муниципального образования город Торжок "Жилищно-коммунальное хозяйство города Торжка на 2014-2019годы"</t>
  </si>
  <si>
    <t>0540200000</t>
  </si>
  <si>
    <t>Задача "Улучшение состояния окружающей среды, повышение экологической культуры населения, снижение риска заболеваемости бешенством на территории города Торжка"</t>
  </si>
  <si>
    <t>Муниципальная программа муниципального образования город Торжок "Дорожное  хозяйство и общественный транспорт города Торжка на 2014-2019 годы"</t>
  </si>
  <si>
    <t>0610100000</t>
  </si>
  <si>
    <t>Задача "Содержание автомобильных дорог общего пользования местного значения города Торжка и сооружений на них"</t>
  </si>
  <si>
    <t>Содержание автомобильных дорог общего пользования местного значения города Торжка и сооружений на них, нацеленное на обеспечение их проезжаемости и безопасности</t>
  </si>
  <si>
    <t>0610200000</t>
  </si>
  <si>
    <t>Задача "Капитальный ремонт (ремонт) автомобильных дорог общего пользования местного значения города Торжка и сооружений на них, в том числе разработка проектной документации"</t>
  </si>
  <si>
    <t>Капитальный ремонт и ремонт автомобильных дорог общего пользования местного значения города Торжка</t>
  </si>
  <si>
    <t>Задача "Капитальный ремонт и ремонт дворовых территорий многоквартирных домов, проездов к дворовым территориям многоквартирных домов города Торжка"</t>
  </si>
  <si>
    <t>"Обеспечение безопасных условий дорожного движения на территории муниципального образования город Торжок"</t>
  </si>
  <si>
    <t>0620100000</t>
  </si>
  <si>
    <t>Задача "Создание условий по обеспечению охраны жизни, здоровья граждан, их законных прав на безопасные условия движения на улично-дорожной сети города Торжка"</t>
  </si>
  <si>
    <t>Нанесение горизонтальной дорожной разметки на улично-дорожной сети города Торжка</t>
  </si>
  <si>
    <t>Муниципальная программа муниципального образования город Торжок «Развитие малого и среднего предпринимательства в городе Торжке» на 2014-2019 годы</t>
  </si>
  <si>
    <t>0710200000</t>
  </si>
  <si>
    <t>Задача "Создание положительного имиджа предпринимателей"</t>
  </si>
  <si>
    <t>071022004Б</t>
  </si>
  <si>
    <t>0710400000</t>
  </si>
  <si>
    <t>Задача "Развитие молодежного предпринимательства"</t>
  </si>
  <si>
    <t>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информационно-пропагандистической деятельности, направленной на решение проблемных вопросов предпринимательства на базе Делового информационно-образовательного центра города</t>
  </si>
  <si>
    <t>0720100000</t>
  </si>
  <si>
    <t>Задача "Развитие туристской инфраструктуры города Торжка"</t>
  </si>
  <si>
    <t>0520000000</t>
  </si>
  <si>
    <t>Подпрограмма "Повышение надежности и эффективности функционирования объектов коммунального хозяйства города Торжка"</t>
  </si>
  <si>
    <t>0520200000</t>
  </si>
  <si>
    <t>Задача "Развитие коммунальной инфраструктуры города Торжка"</t>
  </si>
  <si>
    <t>052022002Г</t>
  </si>
  <si>
    <t>Обеспечение инженерной инфраструктурой земельных участков под жилищную застройку в микрорайоне "Южный"</t>
  </si>
  <si>
    <t>Капитальные  вложения в объекты недвижимого имущества государственной (муниципальной) собственности</t>
  </si>
  <si>
    <t>052022004Б</t>
  </si>
  <si>
    <t>Перевод объектов на автономное теплоснабжение</t>
  </si>
  <si>
    <t>0540100000</t>
  </si>
  <si>
    <t>Задача "Повышение благоустройства территории муниципального образования город Торжок"</t>
  </si>
  <si>
    <t>Проведение мероприятий по содержанию мест захоронений</t>
  </si>
  <si>
    <t>054012008Б</t>
  </si>
  <si>
    <t>Разработка проектно-сметной документации и выполнение работ по благоустройству территории муниципального образования город Торжок</t>
  </si>
  <si>
    <t>Проведение мероприятий по восстановлению воинских захоронений</t>
  </si>
  <si>
    <t>Муниципальная программа муниципального образования город Торжок "Развитие образования города Торжка" на 2014-2019годы</t>
  </si>
  <si>
    <t>0130000000</t>
  </si>
  <si>
    <t>Подпрограмма "Социальная реабилитация детей, находящихся в конфликте с законом (совершивших правонарушения и преступления), профилактика безнадзорности и беспризорности детей, преступности несовершеннолетних, в том числе повторной</t>
  </si>
  <si>
    <t>Задача "Создание непрерывного комплексного социального сопровождения, социализации и реабилитации несовершеннолетних, склонных к совершению или совершивших правонарушения и преступления, а также безнадзорных несовершеннолетних"</t>
  </si>
  <si>
    <t>013012001Б</t>
  </si>
  <si>
    <t>Реализация инновационного социального проекта муниципального образования город Торжок по комплексной социальной реабилитации и адаптации детей, находящихся в конфликте с законом, безнадзорных и беспризорных детей "Вам захочется жить по-другому"</t>
  </si>
  <si>
    <t>Муниципальная программа муниципального образования город Торжок «Развитие культуры города Торжка» на  2014-2019 годы</t>
  </si>
  <si>
    <t>0210100000</t>
  </si>
  <si>
    <t>Задача "Сохранение и развитие библиотечного дела в городе Торжке"</t>
  </si>
  <si>
    <t>Проведение ремонта помещения МКУК города Торжка "Централизованная библиотечная система"</t>
  </si>
  <si>
    <t>Организация библиотечного обслуживания населения</t>
  </si>
  <si>
    <t>0210300000</t>
  </si>
  <si>
    <t>Задача "Развитие художественного образования детей города Торжка"</t>
  </si>
  <si>
    <t>Проведение городских культурно-массовых мероприятий бюджетным учреждением в сфере предоставления услуг дополнительного образования в области культуры</t>
  </si>
  <si>
    <t>600</t>
  </si>
  <si>
    <t>Предоставление субсидий  бюджетным, автономным учреждениям и иным некоммерческим организациям</t>
  </si>
  <si>
    <t>0860100000</t>
  </si>
  <si>
    <t>Задача "Повышение статуса граждан, получивших признание за достижения в трудовой, общественной и иной деятельности"</t>
  </si>
  <si>
    <t>Содействие социально ориентированным некоммерческим организациям в реализации ими целевых социальных проектов</t>
  </si>
  <si>
    <t>Обеспечение мер социальной поддержки для лиц, удостоенных звания "Почетный гражданин города Торжка"</t>
  </si>
  <si>
    <t>0860200000</t>
  </si>
  <si>
    <t>Задача "Социальная поддержка и улучшение качества жизни социально-уязвимых категорий граждан и граждан, оказавшихся в трудной жизненной и экстремальной ситуации, за счет развития адресных форм социальной помощи"</t>
  </si>
  <si>
    <t>0850100000</t>
  </si>
  <si>
    <t>Задача "Обеспечение информационной открытости органов местного самоуправления муниципального образования город Торжок"</t>
  </si>
  <si>
    <t>Субсидии юридическим лицам (за исключением субсидий государственным (муниципальным) учреждениям), оказывающим услуги в сфере электронных средств массовой информации, учредителем (соучредителем) которых является муниципальное образование город Торжок</t>
  </si>
  <si>
    <t>08501S032C</t>
  </si>
  <si>
    <t>Субсидии юридическим лицам на возмещение части затрат, связанных с производством, выпуском и распространением периодического печатного издания (газеты), учредителем (соучредителем) которого является администрация города Торжка</t>
  </si>
  <si>
    <t>Муниципальная программа муниципального образования город Торжок «Управление муниципальными финансами» на 2014-2019 годы</t>
  </si>
  <si>
    <t>1090100000</t>
  </si>
  <si>
    <t>Обеспечение деятельности исполнителя программы</t>
  </si>
  <si>
    <t>Расходы, не включенные в муниципальные программы</t>
  </si>
  <si>
    <t>9920000000</t>
  </si>
  <si>
    <t>Подпрограмма "Обеспечение прозрачности и открытости бюджетного процесса"</t>
  </si>
  <si>
    <t>1010100000</t>
  </si>
  <si>
    <t>Задача "Комплексная автоматизация бюджетного процесса муниципального образования город Торжок, включая управление закупками и информационно-правовое обеспечение бюджетного процесса"</t>
  </si>
  <si>
    <t>1030300000</t>
  </si>
  <si>
    <t>Задача "Совершенствование кассового обслуживания исполнения бюджета муниципального образования"</t>
  </si>
  <si>
    <t>9940000000</t>
  </si>
  <si>
    <t>Мероприятия, не включенные в муниципальные программы муниципального образования город Торжок</t>
  </si>
  <si>
    <t>994002000Я</t>
  </si>
  <si>
    <t>Средства на реализацию мероприятий по обращениям, поступающим к депутатам Торжокской городской Думы</t>
  </si>
  <si>
    <t>1020000000</t>
  </si>
  <si>
    <t>Подпрограмма "Обеспечение сбалансированности и финансовой устойчивости бюджета муниципального образования город Торжок"</t>
  </si>
  <si>
    <t>1020100000</t>
  </si>
  <si>
    <t>Задача "Достижение приемлемых и экономически обоснованных объема и структуры муниципального долга"</t>
  </si>
  <si>
    <t>102012001Б</t>
  </si>
  <si>
    <t>Обслуживание муниципального долга</t>
  </si>
  <si>
    <t>700</t>
  </si>
  <si>
    <t>Обслуживание государственного (муниципального ) долга</t>
  </si>
  <si>
    <t>Учреждение Комитет по управлению имуществом города Торжка</t>
  </si>
  <si>
    <t>Муниципальная программа муниципального образования город Торжок «Управление имуществом и земельными ресурсами муниципального образования» на  2014-2019 годы</t>
  </si>
  <si>
    <t>0910100000</t>
  </si>
  <si>
    <t>Задача "Повышение эффективности использования муниципального имущества, не закрепленного за юридическими лицами, за исключением земельных участков"</t>
  </si>
  <si>
    <t>Оценка недвижимости, признание прав и регулирование отношений по муниципальной собственности</t>
  </si>
  <si>
    <t>0990100000</t>
  </si>
  <si>
    <t>0910300000</t>
  </si>
  <si>
    <t>Задача "Повышение эффективности использования муниципального имущества в части земельных участков"</t>
  </si>
  <si>
    <t>Муниципальная программа муниципального образования город Торжок "Обеспечение доступным жильем населения города Торжка и развитие жилищного строительства " на 2014-2019 годы</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</si>
  <si>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</si>
  <si>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0430100000</t>
  </si>
  <si>
    <t>Задача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найма специализированных жилых помещений"</t>
  </si>
  <si>
    <t>9990000000</t>
  </si>
  <si>
    <t>Председатель Торжокской Думы</t>
  </si>
  <si>
    <t>Центральный аппарат органов, не включенных в муниципальные программы муниципального образования город Торжок</t>
  </si>
  <si>
    <t>Депутаты Торжокский городской Думы</t>
  </si>
  <si>
    <t>Муниципальная программа муниципального образования город Торжок "Развитие физической  культуры и спорта города Торжка" на 2014 -2019годы</t>
  </si>
  <si>
    <t>0310200000</t>
  </si>
  <si>
    <t>Задача "Развитие детско-юношеского спорта в системе муниципальных бюджетных учреждений дополнительного образования детей спортивной направленности"</t>
  </si>
  <si>
    <t>031022004И</t>
  </si>
  <si>
    <t>Содействие в проведении областных, межрегиональных и всероссийских турниров по видам спорта</t>
  </si>
  <si>
    <t>Подпрограмма "Создание условий для вовлечения молодежи города Торжка в общественно-политическую, социально-экономическую и культурную жизнь общества"</t>
  </si>
  <si>
    <t>0120100000</t>
  </si>
  <si>
    <t>Задача "Создание условий для гражданского становления, эффективной социализации и самореализации молодых граждан"</t>
  </si>
  <si>
    <t>Организация трудовых отрядов несовершеннолетних в возрасте от 14 до 18 лет в свободное от учебы время</t>
  </si>
  <si>
    <t>012012005П</t>
  </si>
  <si>
    <t>Выплата именной стипендии Главы города Торжка студентам средних специальных учебных заведений</t>
  </si>
  <si>
    <t>0120200000</t>
  </si>
  <si>
    <t>Задача "Профилактика безнадзорности и правонарушений несовершеннолетних"</t>
  </si>
  <si>
    <t>012022004И</t>
  </si>
  <si>
    <t>0420100000</t>
  </si>
  <si>
    <t>Задача "Содействие в решении жилищных проблем молодых семей"</t>
  </si>
  <si>
    <t>04201L020Б</t>
  </si>
  <si>
    <t>0310100000</t>
  </si>
  <si>
    <t>Задача "Развитие массового спорта и физкультурно-оздоровительного движения среди всех возрастных групп и категорий населения муниципального образования город Торжок"</t>
  </si>
  <si>
    <t>0310300000</t>
  </si>
  <si>
    <t>Задача "Развитие инфраструктуры массового спорта, укрепление материально-технической базы учреждений физкультурно-спортивной направленности на территории муниципального образования город Торжок за счет реализации муниципальных и областных проектов"</t>
  </si>
  <si>
    <t>0390100000</t>
  </si>
  <si>
    <t>0110100000</t>
  </si>
  <si>
    <t>Задача "Содействие развитию системы дошкольного образования в городе Торжке"</t>
  </si>
  <si>
    <t>Проведение ремонта зданий и помещений муниципальных бюджетных дошкольных образовательных учреждений</t>
  </si>
  <si>
    <t>0110200000</t>
  </si>
  <si>
    <t>Задача "Удовлетворение потребностей населения города Торжка в получении услуг общего образования"</t>
  </si>
  <si>
    <t>Проведение ремонта зданий и помещений муниципальных бюджетных общеобразовательных учреждений</t>
  </si>
  <si>
    <t>01102S024Б</t>
  </si>
  <si>
    <t>0190100000</t>
  </si>
  <si>
    <t>Обеспечение деятельности ответственного исполнителя программы</t>
  </si>
  <si>
    <t>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на 2017 год и на плановый период 2018 и 2019 годов</t>
  </si>
  <si>
    <t>Распределение бюджетных ассигнований по целевым статьям (муниципальным программам и непрограммным направлениям деятельности)  и главным распорядителям средств бюджета муниципального образования город Торжок  на 2017 год и на плановый период 2018 и 2019 годов</t>
  </si>
  <si>
    <t>0840100000</t>
  </si>
  <si>
    <t>Задача "Повышение готовности органов местного самоуправления к защите населения и территорий от чрезвычайных ситуаций"</t>
  </si>
  <si>
    <t>Организация и проведение городских профессиональных конкурсов, фестивалей среди субъектов малого и среднего предпринимательства</t>
  </si>
  <si>
    <t>0210200000</t>
  </si>
  <si>
    <t>Задача "Поддержка профессионального искусства и народного творчества в городе Торжке"</t>
  </si>
  <si>
    <t>0110300000</t>
  </si>
  <si>
    <t>Задача "Обеспечение создания условий для воспитания гармонично развитой творческой личности в условиях современного социума"</t>
  </si>
  <si>
    <t>Обслуживание государственного и муниципального долга</t>
  </si>
  <si>
    <t xml:space="preserve">Молодежная политика </t>
  </si>
  <si>
    <t xml:space="preserve">Расходы, не включенные в муниципальные программы </t>
  </si>
  <si>
    <t>994002003Б</t>
  </si>
  <si>
    <t>Исполнение судебных актов</t>
  </si>
  <si>
    <t>052022004Г</t>
  </si>
  <si>
    <t>Развитие системы теплоснабжения в границах города</t>
  </si>
  <si>
    <t>Подпрограмма "Сохранение и улучшение транспортно-эксплуатационного состояния улично-дорожной сети города Торжка"</t>
  </si>
  <si>
    <t>Проведение ремонта зданий и помещений муниципальных бюджетных общеобразовательных учреждений на условиях софинансирования за счет средств местного бюджета</t>
  </si>
  <si>
    <t>01102S044И</t>
  </si>
  <si>
    <t>03103S040Б</t>
  </si>
  <si>
    <t>Содействие в укреплении материально-технической базы специализированной детско-юношеской спортивной школы олимпийского резерва на условиях софинансирования за счет средств местного бюджета</t>
  </si>
  <si>
    <t>03102S048И</t>
  </si>
  <si>
    <t>Капитальный ремонт и ремонт автомобильных дорог общего пользования местного значения города Торжка на условиях софинансирования за счет средств местного бюджета</t>
  </si>
  <si>
    <t>06102S020В</t>
  </si>
  <si>
    <t>06103S021В</t>
  </si>
  <si>
    <t>0610300000</t>
  </si>
  <si>
    <t>Капитальный ремонт и ремонт дворовых территорий многоквартирных домов, проездов к дворовым территориям многоквартирных домов города Торжка Торжка на условиях софинансирования за счет средств местного бюджета</t>
  </si>
  <si>
    <t xml:space="preserve">Распределение межбюджетных субсидий,субвенций и иных межбюджетных трансфертов, имеющих целевое назначение,  по целевым статьям (муниципальным программам и непрограммным направлениям деятельности)  и главным распорядителям средств бюджета муниципального образования город Торжок  на 2017 год и на плановый период 2018 и 2019 годов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</si>
  <si>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</si>
  <si>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Управление образования администрации города Торжка Тверской области</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</si>
  <si>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Тверской области</t>
  </si>
  <si>
    <t>Субвенции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</si>
  <si>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t>
  </si>
  <si>
    <t>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</si>
  <si>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Субвенции на осуществление государственных полномочий по государственной регистрации актов гражданского состояния</t>
  </si>
  <si>
    <t>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</si>
  <si>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 xml:space="preserve">Субвенции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t>
  </si>
  <si>
    <t>Приложение 8</t>
  </si>
  <si>
    <t>054011043Б</t>
  </si>
  <si>
    <t>Реализация программы по поддержке местных инициатив за счет средств областного бюджета</t>
  </si>
  <si>
    <t>Реализация программы по поддержке местных инициатив за счет средств местного бюджета</t>
  </si>
  <si>
    <t>05401S043Б</t>
  </si>
  <si>
    <t>Субсидии на реализацию программ по поддержке местных инициатив в Тверской области на территории городских округов Тверской области</t>
  </si>
  <si>
    <t>06103S043Б</t>
  </si>
  <si>
    <t>061031043Б</t>
  </si>
  <si>
    <t>Субсидии на организацию отдыха детей в каникулярное время</t>
  </si>
  <si>
    <t>Субсидии на организацию обеспечения учащихся начальных классов муниципальных общеобразовательных организаций горячим питанием</t>
  </si>
  <si>
    <t>Комитет по управлению имуществом муниципального образования город Торжок Тверской области</t>
  </si>
  <si>
    <t>01101L027И</t>
  </si>
  <si>
    <t>Реализация мероприятий, направленных на создание условий для получения детьми-инвалидами качественного образования в муниципальных бюджетных дошкольных образовательных учреждениях города Торжка</t>
  </si>
  <si>
    <t>011022009И</t>
  </si>
  <si>
    <t xml:space="preserve">Оснащение муниципальных бюджетных общеобразовательных учреждений </t>
  </si>
  <si>
    <t>01103S048И</t>
  </si>
  <si>
    <t xml:space="preserve">Содействие в укреплении материально-технической базы детско-юношеской спортивной школы на условиях софинансирования за счет средств местного бюджета </t>
  </si>
  <si>
    <t>01102S066И</t>
  </si>
  <si>
    <t>Организация посещения обучающимися муниципальных образовательных организаций города Торжка Тверского императорского дворца</t>
  </si>
  <si>
    <t>0401</t>
  </si>
  <si>
    <t xml:space="preserve">Общеэкономические вопросы
</t>
  </si>
  <si>
    <t>0610400000</t>
  </si>
  <si>
    <t>Задача "Обеспечение развития транспортной инфраструктуры муниципального образования город Торжок"</t>
  </si>
  <si>
    <t>061042008Б</t>
  </si>
  <si>
    <t xml:space="preserve">Разработка программы комплексного развития транспортной инфраструктуры муниципального образования город Торжок </t>
  </si>
  <si>
    <t>Закупка товаров, работ и услуг для обеспечения государственных (муниципальных) нужд</t>
  </si>
  <si>
    <t>054012005Б</t>
  </si>
  <si>
    <t>Проведение мероприятий по восстановлению воинских захоронений за счет средств местного бюджета</t>
  </si>
  <si>
    <t>0107</t>
  </si>
  <si>
    <t>Обеспечение проведения выборов и референдумов</t>
  </si>
  <si>
    <t>994002000Б</t>
  </si>
  <si>
    <t>Расходы на проведение выборов в представительный орган муниципального образования</t>
  </si>
  <si>
    <t>011022006И</t>
  </si>
  <si>
    <t>Обеспечение комплексной безопасности зданий и помещений муниципальных бюджетных общеобразовательных учреждений-----</t>
  </si>
  <si>
    <t>021022007И</t>
  </si>
  <si>
    <t>Проведение противопожарных мероприятий и ремонтных работ бюджетным учреждением города Торжка в сфере осуществления культурно-досуговых мероприятий</t>
  </si>
  <si>
    <t>02102L558И</t>
  </si>
  <si>
    <t xml:space="preserve">Обеспечение развития и укрепления материально-технической базы МБУ «Городской Дом культуры» </t>
  </si>
  <si>
    <t>02102S034И</t>
  </si>
  <si>
    <t>Материально-техническое обеспечение МБУ «Городской Дом культуры»</t>
  </si>
  <si>
    <t>Укрепление материально-технической базы МБУ ДО «Детская школа искусств»</t>
  </si>
  <si>
    <t xml:space="preserve">Обеспечение комплексной безопасности зданий и помещений муниципальных бюджетных общеобразовательных учреждений </t>
  </si>
  <si>
    <t>011021023И</t>
  </si>
  <si>
    <t>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t>
  </si>
  <si>
    <t>089011057О</t>
  </si>
  <si>
    <t xml:space="preserve">Осуществление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</si>
  <si>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 xml:space="preserve">Субвенции на осуществление органами местного самоуправления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</si>
  <si>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011021044И</t>
  </si>
  <si>
    <t>Субсидии на укрепление материально-технической базы муниципальных общеобразовательных организаций</t>
  </si>
  <si>
    <t>Проведение капитального ремонта зданий и помещений муниципальных бюджетных общеобразовательных учреждений на условиях софинансирования за счет средств областного бюджета</t>
  </si>
  <si>
    <t>011021024И</t>
  </si>
  <si>
    <t>011021024Б</t>
  </si>
  <si>
    <t>Организация отдыха детей в каникулярное время за счет средств областного бюджета (частичное возмещение стоимости путевок)</t>
  </si>
  <si>
    <t>Организация отдыха детей в каникулярное время за счет средств областного бюджета</t>
  </si>
  <si>
    <t>085011032С</t>
  </si>
  <si>
    <t xml:space="preserve">Субсидии юридическим лицам на возмещение части затрат, связанных с производством, выпуском и распространением периодического печатного издания (газеты), учредителем (соучредителем) которого является администрация  города Торжка за счет средств областного бюджета  </t>
  </si>
  <si>
    <t>Субсидии на реализацию расходных обязательств муниципальных образований Тверской области по поддержке редакций районных и городских газет</t>
  </si>
  <si>
    <t>04201R020Б</t>
  </si>
  <si>
    <t>Предоставление социальных выплат молодым семьям на улучшение жилищных условий за счет средств областного и федерального бюджетов</t>
  </si>
  <si>
    <t>Субсидии на капитальный ремонт и ремонт автомобильных дорог общего пользования местного значения</t>
  </si>
  <si>
    <t>061031021В</t>
  </si>
  <si>
    <t>061021020В</t>
  </si>
  <si>
    <t>Капитальный ремонт и ремонт дворовых территорий многоквартирных домов, проездов к дворовым территориям многоквартирных домов города Торжка Торжка  за счет средств областного бюджета</t>
  </si>
  <si>
    <t>Капитальный ремонт и ремонт автомобильных дорог общего пользования местного значения города Торжка за счет средств областного бюджета</t>
  </si>
  <si>
    <t>Управление финансов администрации муниципального образования город Торжок</t>
  </si>
  <si>
    <t>Капитальный ремонт и ремонт дворовых территорий многоквартирных домов, проездов к дворовым территориям многоквартирных домов города  Торжка  за счет средств областного бюджета</t>
  </si>
  <si>
    <t>Капитальный ремонт и ремонт дворовых территорий многоквартирных домов, проездов к дворовым территориям многоквартирных домов города Торжка на условиях софинансирования за счет средств местного бюджета</t>
  </si>
  <si>
    <t>Приобретение и установка плоскостных спортивных сооружений и оборудования на плоскостные спортивные сооружения на территории города на условиях софинансирования за счет средств местного бюджета</t>
  </si>
  <si>
    <t xml:space="preserve">Субсидии на обеспечение жильем молодых семей </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</si>
  <si>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</si>
  <si>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Субсидии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</si>
  <si>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031031040Б</t>
  </si>
  <si>
    <t>Приобретение и установка плоскостных спортивных сооружений и оборудования на плоскостные спортивные сооружения на территории города на условиях софинансирования за счет средств областного бюджета</t>
  </si>
  <si>
    <t>Субсидии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t>
  </si>
  <si>
    <t>011021066И</t>
  </si>
  <si>
    <t>01101R027И</t>
  </si>
  <si>
    <t>Субсидии на реализацию мероприятий государственной программы Российской Федерации "Доступная среда" на 2011-2020 годы</t>
  </si>
  <si>
    <t>Организация посещения обучающимися муниципальных общеобразовательных организаций города Торжка Тверского императорского дворца в части обеспечения подвоза обучающихся за счет средств областного бюджета</t>
  </si>
  <si>
    <t>Реализация мероприятий, направленных на создание условий для получения детьми-инвалидами качественного образования в муниципальных бюджетных дошкольных образовательных учреждениях города Торжка за счет средств областного и федерального бюджетов</t>
  </si>
  <si>
    <t>062012007Б</t>
  </si>
  <si>
    <t>Обеспечение транспортной безопасности объектов транспортной инфраструктуры</t>
  </si>
  <si>
    <t>0130100000</t>
  </si>
  <si>
    <t xml:space="preserve">Обеспечение благоустроенными жилыми помещениями специализированного жилищного фонда детей-сирот и детей, оставшимся без попечения родителей, лиц из их числа по договорам найма специализированных жилых помещений </t>
  </si>
  <si>
    <t>Распределение бюджетных ассигнований бюджета муниципального образования город Торжок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2017 год и на плановый период 2018 и 2019 годов</t>
  </si>
  <si>
    <t>062012006Б</t>
  </si>
  <si>
    <t xml:space="preserve">Установка дорожных знаков на улично-дорожной сети города Торжка </t>
  </si>
  <si>
    <t>Муниципальная программа муниципального образования город Торжок "Жилищно-коммунальное хозяйство города Торжка на 2014-2019 годы"</t>
  </si>
  <si>
    <t>031021048И</t>
  </si>
  <si>
    <t>Содействие в укреплении материально-технической базы специализированной детско-юношеской спортивной школы олимпийского резерва на условиях софинансирования за счет средств областного бюджета</t>
  </si>
  <si>
    <t>011031048И</t>
  </si>
  <si>
    <t xml:space="preserve">Содействие в укреплении материально-технической базы детско-юношеской спортивной школы на условиях софинансирования за счет средств областного бюджета </t>
  </si>
  <si>
    <t>Субсидии на укрепление материально-технической базы муниципальных спортивных школ</t>
  </si>
  <si>
    <t>Межбюджетные трансферты на реализацию мероприятий по обращениям, поступающим к депутатам Законодательного Собрания Тверской области</t>
  </si>
  <si>
    <t>Реализация мероприятий по обращениям, поступающим к депутатам Законодательного Собрания Тверской области</t>
  </si>
  <si>
    <t>995001092Я</t>
  </si>
  <si>
    <t>Средства на реализацию мероприятий по обращениям, поступающим к депутатам Законодательного Собрания Тверской области</t>
  </si>
  <si>
    <t>9950000000</t>
  </si>
  <si>
    <t>Субсидии на повышение заработной платы работникам муниципальных учреждений культуры Тверской области</t>
  </si>
  <si>
    <t>Субсидии на повышение заработной платы педагогическим работникам муниципальных организаций дополнительного образования</t>
  </si>
  <si>
    <t>01103S069М</t>
  </si>
  <si>
    <t>011031069М</t>
  </si>
  <si>
    <t>031021069М</t>
  </si>
  <si>
    <t>021031069И</t>
  </si>
  <si>
    <t>021011068К</t>
  </si>
  <si>
    <t>02101S068К</t>
  </si>
  <si>
    <t>021021068М</t>
  </si>
  <si>
    <t>02102S068М</t>
  </si>
  <si>
    <t xml:space="preserve">Расходы на повышение заработной платы педагогическим работникам муниципальных организаций дополнительного образования за счет средств областного бюджета </t>
  </si>
  <si>
    <t>Расходы на повышение заработной платы работникам муниципальных учреждений культуры за счет средств областного бюджета</t>
  </si>
  <si>
    <t>Субсидии на материально-техническое обеспечение муниципальных культурно-досуговых учреждений культуры</t>
  </si>
  <si>
    <t>Субсидии на поддержку отрасли культура(в части комплектования книжных фондов муниципальных общедоступных библиотек Тверской области)</t>
  </si>
  <si>
    <t>021021034И</t>
  </si>
  <si>
    <t>Материально-техническое обеспечение МБУ «Городской Дом культуры» на условиях софинансирования за счет средств областного бюджета</t>
  </si>
  <si>
    <t>02101L5191</t>
  </si>
  <si>
    <t>02101R5191</t>
  </si>
  <si>
    <t>Комплектование книжных фондов МКУК г. Торжка "Централизованная библиотечная система" на условиях софинансирования за счет средств местного бюджета</t>
  </si>
  <si>
    <t>Комплектование книжных фондов МКУК г. Торжка "Централизованная библиотечная система" на условиях софинансирования за счет средств областного и федерального бюджетов</t>
  </si>
  <si>
    <t xml:space="preserve">Расходы на повышение заработной платы педагогическим работникам муниципальных организаций дополнительного образования за счет средств местного бюджета </t>
  </si>
  <si>
    <t>Расходы на повышение заработной платы работникам муниципальных учреждений культуры за счет средств местного бюджета</t>
  </si>
  <si>
    <t>083012002Б</t>
  </si>
  <si>
    <t>Обеспечение мер безопасности проведения культурно-зрелищных, спортивных и иных массовых мероприятий</t>
  </si>
  <si>
    <t>Общий объем бюджетных ассигнований, направляемых  на исполнение публичных нормативных обязательств муниципального образования город Торжок на 2017 год и на плановый период 2018 и 2019 годов</t>
  </si>
  <si>
    <t>Наименование публичного нормативного обязательства</t>
  </si>
  <si>
    <t>Реквизиты нормативного правового акта</t>
  </si>
  <si>
    <t>Код расходов по БК</t>
  </si>
  <si>
    <t>Объем 
бюджетных ассигнований 
(тыс. руб.)</t>
  </si>
  <si>
    <t>вид</t>
  </si>
  <si>
    <t>дата</t>
  </si>
  <si>
    <t>номер</t>
  </si>
  <si>
    <t>наименование</t>
  </si>
  <si>
    <t>ЦСР</t>
  </si>
  <si>
    <t>на 2017
год</t>
  </si>
  <si>
    <t>на 2018
год</t>
  </si>
  <si>
    <t>на 2019
год</t>
  </si>
  <si>
    <t>11</t>
  </si>
  <si>
    <t>Решение</t>
  </si>
  <si>
    <t>186</t>
  </si>
  <si>
    <t>Об утверждении Положения об именных стипендиях Главы города Торжка</t>
  </si>
  <si>
    <t>23.09.2010</t>
  </si>
  <si>
    <t>334</t>
  </si>
  <si>
    <t>О Положении о порядке назначения и выплаты пенсии за выслугу лет к трудовой пенсии по старости (инвалидности) лицам, замещавшим должности муниципальной службы муниципального образования город Торжок</t>
  </si>
  <si>
    <t>Меры социальной поддержки для лиц, удостоенных  звания "Почетный гражданин города Торжка"</t>
  </si>
  <si>
    <t>24.04.2014</t>
  </si>
  <si>
    <t>248</t>
  </si>
  <si>
    <t>О Положении о звании "Почетный гражданин города Торжка"</t>
  </si>
  <si>
    <t>Итого:</t>
  </si>
  <si>
    <t>021032004И</t>
  </si>
  <si>
    <t>012012003И</t>
  </si>
  <si>
    <t>Содействие в материально-техническом оснащении и ремонте подростковых клубов</t>
  </si>
  <si>
    <t>к решению Торжокской городской Думы</t>
  </si>
  <si>
    <t>021031069М</t>
  </si>
  <si>
    <t>02103S069М</t>
  </si>
  <si>
    <t>03102S069М</t>
  </si>
  <si>
    <t>Субсидии на обеспечение развития и укрепления материально-технической базы муниципальных домов культуры</t>
  </si>
  <si>
    <t>02102R558И</t>
  </si>
  <si>
    <t>Обеспечение развития и укрепления материально-технической базы МБУ «Городской Дом культуры» на условиях софинансирования за счет средств областного и федерального бюджетов</t>
  </si>
  <si>
    <t xml:space="preserve"> Адресная инвестиционная программа</t>
  </si>
  <si>
    <t>№ п/п</t>
  </si>
  <si>
    <t xml:space="preserve">Наименование </t>
  </si>
  <si>
    <t xml:space="preserve">Бюджетополучатель    </t>
  </si>
  <si>
    <t>Лимит местного бюджета (тыс. руб.)</t>
  </si>
  <si>
    <t xml:space="preserve">Раздел и подраздел бюджетной классификации расходов </t>
  </si>
  <si>
    <t xml:space="preserve">средства местного бюджета </t>
  </si>
  <si>
    <t xml:space="preserve">средства областного бюджета Тверской области </t>
  </si>
  <si>
    <t>средства федерального бюджета</t>
  </si>
  <si>
    <t>всего</t>
  </si>
  <si>
    <t>х</t>
  </si>
  <si>
    <t>1.1.</t>
  </si>
  <si>
    <t>1.1.1.</t>
  </si>
  <si>
    <t xml:space="preserve">Инженерная подготовка площадки под жилую застройку в микрорайоне "Южный" г.Торжок Тверской области </t>
  </si>
  <si>
    <t xml:space="preserve">администрация муниципального образования город Торжок </t>
  </si>
  <si>
    <t>1.1.2.</t>
  </si>
  <si>
    <t>Реконструкция тепловых сетей по ул. Луначарского и  ул. Зеленый городок в городе Торжке</t>
  </si>
  <si>
    <t xml:space="preserve">2. </t>
  </si>
  <si>
    <t>2.1.</t>
  </si>
  <si>
    <t>2.1.1.</t>
  </si>
  <si>
    <t>Приобретение в муниципальную собственность жилых помещений</t>
  </si>
  <si>
    <t>Всего</t>
  </si>
  <si>
    <t>011012008И</t>
  </si>
  <si>
    <t>Оснащение муниципальных бюджетных образовательных организаций, предоставляющих услуги дошкольного образования</t>
  </si>
  <si>
    <t>011032005И</t>
  </si>
  <si>
    <t>Оснащение муниципальных бюджетных образовательных организаций дополнительного образования детей</t>
  </si>
  <si>
    <t>021012002К</t>
  </si>
  <si>
    <t xml:space="preserve">Укрепление материально-технической базы МКУК г. Торжка "Централизованная библиотечная система" </t>
  </si>
  <si>
    <t>к   решению Торжокской городской Думы</t>
  </si>
  <si>
    <t>Прогнозируемые доходы бюджета муниципального образования город Торжок по группам, подгруппам, 
статьям, подстатьям и элементам доходов классификации доходов 
бюджетов  Российской Федерации на 2017 год и на плановый период 2018 и 2019 годов</t>
  </si>
  <si>
    <t>Код классификации Российской Федерации</t>
  </si>
  <si>
    <t>Наименование дохода</t>
  </si>
  <si>
    <t>Сумма, тыс.руб.</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</si>
  <si>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</si>
  <si>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</si>
  <si>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</si>
  <si>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</si>
  <si>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</si>
  <si>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</si>
  <si>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</si>
  <si>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</si>
  <si>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</si>
  <si>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</si>
  <si>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</si>
  <si>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</si>
  <si>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</si>
  <si>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</si>
  <si>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</si>
  <si>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</si>
  <si>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</si>
  <si>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</si>
  <si>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</si>
  <si>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</si>
  <si>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</si>
  <si>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</si>
  <si>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</si>
  <si>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</si>
  <si>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</si>
  <si>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</si>
  <si>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000 1 05 02000 02 0000 110</t>
  </si>
  <si>
    <t>Единый налог на вмененный доход для отдельных видов деятельности</t>
  </si>
  <si>
    <t>000 1 05 02010 02 0000 110</t>
  </si>
  <si>
    <t>000 1 05 02020 02 0000 110</t>
  </si>
  <si>
    <t>Единый налог на вмененный доход для отдельных видов деятельности (за налоговые периоды, истекшие до 1 января 2011 года)</t>
  </si>
  <si>
    <t>000 1 05 03000 01 0000 110</t>
  </si>
  <si>
    <t>Единый сельскохозяйственный налог</t>
  </si>
  <si>
    <t>000 1 05 03010 01 0000 110</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</si>
  <si>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</si>
  <si>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</si>
  <si>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</si>
  <si>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</si>
  <si>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</si>
  <si>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</si>
  <si>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</si>
  <si>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</si>
  <si>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</si>
  <si>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</si>
  <si>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</si>
  <si>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Земельный налог</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</si>
  <si>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</si>
  <si>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</si>
  <si>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</si>
  <si>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</si>
  <si>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</si>
  <si>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</si>
  <si>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</si>
  <si>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</si>
  <si>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</si>
  <si>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</si>
  <si>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</si>
  <si>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</si>
  <si>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</si>
  <si>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</si>
  <si>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</si>
  <si>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</si>
  <si>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</si>
  <si>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Государственная пошлина за выдачу разрешения на установку рекламной конструкции</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</si>
  <si>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</si>
  <si>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</si>
  <si>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</si>
  <si>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</si>
  <si>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</si>
  <si>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</si>
  <si>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</si>
  <si>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</si>
  <si>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</si>
  <si>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</si>
  <si>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</si>
  <si>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</si>
  <si>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</si>
  <si>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</si>
  <si>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000 1 11 05074 04 0000 120</t>
  </si>
  <si>
    <t>Доходы от сдачи в аренду имущества, составляющего  казну городских округов (за исключением земельных участков)</t>
  </si>
  <si>
    <t>000 1 11 07000 00 0000 120</t>
  </si>
  <si>
    <t>Платежи от государственных и муниципальных унитарных предприятий</t>
  </si>
  <si>
    <t>000 1 11 07010 00 0000 120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</si>
  <si>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</si>
  <si>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</si>
  <si>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</si>
  <si>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</si>
  <si>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</si>
  <si>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</si>
  <si>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</si>
  <si>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</si>
  <si>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</si>
  <si>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</si>
  <si>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</si>
  <si>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</si>
  <si>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</si>
  <si>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</si>
  <si>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</si>
  <si>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000 1 12 01020 01 0000 120</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</si>
  <si>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</si>
  <si>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</si>
  <si>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</si>
  <si>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</si>
  <si>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</si>
  <si>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000 1 13 00000 00 0000 000</t>
  </si>
  <si>
    <t>ДОХОДЫ ОТ ОКАЗАНИЯ ПЛАТНЫХ УСЛУГ (РАБОТ) И КОМПЕНСАЦИИ ЗАТРАТ ГОСУДАРСТВА</t>
  </si>
  <si>
    <t>000 1 13 01000 00 0000 130</t>
  </si>
  <si>
    <t>Доходы от оказания платных услуг (работ)</t>
  </si>
  <si>
    <t>000 1 13 01990 00 0000 130</t>
  </si>
  <si>
    <t>Прочие доходы от оказания платных услуг (работ)</t>
  </si>
  <si>
    <t>000 1 13 01994 04 0000 130</t>
  </si>
  <si>
    <t>Прочие доходы от оказания платных услуг (работ) получателями средств бюджетов городских округов</t>
  </si>
  <si>
    <t>000 1 13 02000 00 0000 130</t>
  </si>
  <si>
    <t>Доходы от компенсации затрат государства</t>
  </si>
  <si>
    <t>000 1 13 02990 00 0000 130</t>
  </si>
  <si>
    <t>Прочие доходы от компенсации затрат государства</t>
  </si>
  <si>
    <t>000 1 13 02994 04 0000 130</t>
  </si>
  <si>
    <t>Прочие доходы от компенсации затрат бюджетов городских округов</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</si>
  <si>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</si>
  <si>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</si>
  <si>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</si>
  <si>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</si>
  <si>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</si>
  <si>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</si>
  <si>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</si>
  <si>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</si>
  <si>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</si>
  <si>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</si>
  <si>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000 1 14 06000 00 0000 430</t>
  </si>
  <si>
    <t xml:space="preserve">Доходы от продажи земельных участков, находящихся в государственной и муниципальной собственности </t>
  </si>
  <si>
    <t>000 1 14 06010 00 0000 430</t>
  </si>
  <si>
    <t>Доходы от продажи земельных участков, государственная собственность на которые не разграничена</t>
  </si>
  <si>
    <t>000 1 14  06012 04 0000 430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</si>
  <si>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</si>
  <si>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</si>
  <si>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</si>
  <si>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000 1 16 03000 00 0000 140</t>
  </si>
  <si>
    <t>Денежные взыскания (штрафы) за нарушение законодательства о налогах и сборах</t>
  </si>
  <si>
    <t>000 1 16 03010 01 0000 140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</si>
  <si>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</si>
  <si>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000 1 16 03030 01 0000 140</t>
  </si>
  <si>
    <t>Денежные взыскания (штрафы) за административные правонарушения в области налогов и сборов, предусмотренные Кодеском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</si>
  <si>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</si>
  <si>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</si>
  <si>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</si>
  <si>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</si>
  <si>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000 1 16 08010 01 0000 14</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</si>
  <si>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</si>
  <si>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</si>
  <si>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</si>
  <si>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</si>
  <si>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</si>
  <si>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000 1 16 25060 01 0000 140</t>
  </si>
  <si>
    <t>Денежные взыскания (штрафы) за нарушение земельного законодательства</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</si>
  <si>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</si>
  <si>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</si>
  <si>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</si>
  <si>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правонарушения в области дорожного движения</t>
  </si>
  <si>
    <t>000 1 16 30010 01 0000 140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</si>
  <si>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</si>
  <si>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</si>
  <si>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</si>
  <si>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000 1 16 30030 01 0000 140</t>
  </si>
  <si>
    <t>Прочие денежные взыскания (штрафы) за правонарушения в области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</si>
  <si>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</si>
  <si>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</si>
  <si>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</si>
  <si>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</si>
  <si>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</si>
  <si>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</si>
  <si>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000 11 6 37030 04 0000 140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</si>
  <si>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</si>
  <si>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</si>
  <si>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</si>
  <si>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000 116 51000 02 0000 140</t>
  </si>
  <si>
    <t>Денежные взыскания (штрафы), установленные законами субъектов Российской Федерации за несоблюдение муниципальных правовых актов</t>
  </si>
  <si>
    <t>000 116 51020 02 0000 140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</si>
  <si>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</si>
  <si>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000 1 16 90000 00 0000 140</t>
  </si>
  <si>
    <t>Прочие поступления от денежных взысканий (штрафов) и иных сумм в возмещение ущерба</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</si>
  <si>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</si>
  <si>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</si>
  <si>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000 1 17 00000 00 0000 000</t>
  </si>
  <si>
    <t>ПРОЧИЕ НЕНАЛОГОВЫЕ ДОХОДЫ</t>
  </si>
  <si>
    <t>000 1 17 05000 00 0000 180</t>
  </si>
  <si>
    <t>Прочие неналоговые доходы</t>
  </si>
  <si>
    <t>000 1 17 05040 04 0000 180</t>
  </si>
  <si>
    <t>Прочие неналоговые доходы бюджетов городских округов</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</si>
  <si>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</si>
  <si>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</si>
  <si>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</si>
  <si>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</si>
  <si>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000 2 02 10000 00 0000 151</t>
  </si>
  <si>
    <t>Дотации бюджетам бюджетной системы Российской Федерации</t>
  </si>
  <si>
    <t>000 2 02 15002 00 0000 151</t>
  </si>
  <si>
    <t>Дотации бюджетам на поддержку мер по обеспечению сбалансированности бюджетов</t>
  </si>
  <si>
    <t>000 2 02 15002 04 0000 151</t>
  </si>
  <si>
    <t>Дотации бюджетам городских округов на поддержку мер по обеспечению сбалансированности бюджетов</t>
  </si>
  <si>
    <t>000 2 02 20000 00 0000 151</t>
  </si>
  <si>
    <t>Субсидии бюджетам бюджетной системы Российской Федерации (межбюджетные субсидии)</t>
  </si>
  <si>
    <t>000 2 02 20051 00 0000 151</t>
  </si>
  <si>
    <t>Субсидии бюджетам на реализацию федеральных целевых программ</t>
  </si>
  <si>
    <t>000 2 02 20051 04 0000 151</t>
  </si>
  <si>
    <t>Субсидии бюджетам городских округов на реализацию федеральных целевых программ</t>
  </si>
  <si>
    <t>000 2 02 20216 00 0000 151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</si>
  <si>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</si>
  <si>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000 2 02 20216 04 0000 151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</si>
  <si>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</si>
  <si>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000 2 02 25027 00 0000 151</t>
  </si>
  <si>
    <t>Субсидии бюджетам на реализацию мероприятий государственной программы Российской Федерации "Доступная среда" на 2011 - 2020 годы</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</si>
  <si>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</si>
  <si>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</si>
  <si>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000 2 02 25519 00 0000 151</t>
  </si>
  <si>
    <t>Субсидия бюджетам на поддержку отрасли культуры</t>
  </si>
  <si>
    <t>000 2 02 25519 04 0000 151</t>
  </si>
  <si>
    <t>Субсидия бюджетам городских округов на поддержку отрасли культуры</t>
  </si>
  <si>
    <t>000 2 02 25558 00 0000 151</t>
  </si>
  <si>
    <t>Субсидии бюджетам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</si>
  <si>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000 2 02 25558 04 0000 151</t>
  </si>
  <si>
    <t>Субсидии бюджетам городских округов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</si>
  <si>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000 2 02 29999 00 0000 151</t>
  </si>
  <si>
    <t>Прочие субсидии</t>
  </si>
  <si>
    <t>000 2 02 29999 04 0000 151</t>
  </si>
  <si>
    <t>Субсидии на поддержку редакций районных и городских газет</t>
  </si>
  <si>
    <t>Субсидии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</si>
  <si>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000 2 02 30000 00 0000 151</t>
  </si>
  <si>
    <t>Субвенции бюджетам бюджетной системы Российской Федерации</t>
  </si>
  <si>
    <t>000 2 02 30029 00 0000 151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</si>
  <si>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</si>
  <si>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</si>
  <si>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</si>
  <si>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000 2 02 35082 00 0000 151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</si>
  <si>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</si>
  <si>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</si>
  <si>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</si>
  <si>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000 2 02 35930 00 0000 151</t>
  </si>
  <si>
    <t xml:space="preserve">Субвенции  бюджетам на  государственную регистрацию актов гражданского состояния </t>
  </si>
  <si>
    <t>000 2 02 35930 04 0000 151</t>
  </si>
  <si>
    <t xml:space="preserve">Субвенции  бюджетам городских округов на  государственную регистрацию актов гражданского состояния </t>
  </si>
  <si>
    <t>000 2 02 39999 00 0000 151</t>
  </si>
  <si>
    <t>Прочие субвенции</t>
  </si>
  <si>
    <t>000 2 02 39999 04 0000 151</t>
  </si>
  <si>
    <t>Субвенции бюджетам на обеспечение государственных гарантий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</si>
  <si>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t>
  </si>
  <si>
    <t>Субвенции на осуществление  государственных полномочий по созданию, исполнению полномочий и обеспечению деятельности комиссий по делам несовершеннолетних</t>
  </si>
  <si>
    <t>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</si>
  <si>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</si>
  <si>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Субвенции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</si>
  <si>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000 2 02 40000 00 0000 151</t>
  </si>
  <si>
    <t>Иные межбюджетные трансферты</t>
  </si>
  <si>
    <t>000 2 02 49999 00 0000 151</t>
  </si>
  <si>
    <t>Прочие межбюджетные трансферты, передаваемые бюджетам</t>
  </si>
  <si>
    <t>000 2 02 49999 04 0000 151</t>
  </si>
  <si>
    <t>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</si>
  <si>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000 2 04 00000 00 0000 000</t>
  </si>
  <si>
    <t>БЕЗВОЗМЕЗДНЫЕ ПОСТУПЛЕНИЯ ОТ НЕГОСУДАРСТВЕННЫХ ОРГАНИЗАЦИЙ</t>
  </si>
  <si>
    <t>000 2 04 04000 04 0000 180</t>
  </si>
  <si>
    <t>Безвозмездные поступления от негосударственных организаций в бюджеты городских округов</t>
  </si>
  <si>
    <t>000 2 04 04010 04 0000 180</t>
  </si>
  <si>
    <t>Предоставление негосударственными организациями грантов для получателей средств бюджетов городских округов</t>
  </si>
  <si>
    <t>000 2 04 04099 04 0000 180</t>
  </si>
  <si>
    <t>Прочие безвозмездные поступления от негосударственных организаций в бюджеты городских округов при реализации программ по поддержке местных инициатив</t>
  </si>
  <si>
    <t>000 2 07 00000 00 0000 000</t>
  </si>
  <si>
    <t>ПРОЧИЕ БЕЗВОЗМЕЗДНЫЕ ПОСТУПЛЕНИЯ</t>
  </si>
  <si>
    <t>000 2 07 04000 04 0000 180</t>
  </si>
  <si>
    <t>Прочие безвозмездные поступления в бюджеты городских округов</t>
  </si>
  <si>
    <t>000 2 07 04050 04 0000 180</t>
  </si>
  <si>
    <t>Прочие безвозмездные поступления в бюджеты городских округов при реализации программ по поддержке местных инициатив</t>
  </si>
  <si>
    <t>ИТОГО ДОХОДОВ</t>
  </si>
  <si>
    <t>Приложение 2</t>
  </si>
  <si>
    <t>Приложение 10</t>
  </si>
  <si>
    <t>000 1 16 25050 01 0000 140</t>
  </si>
  <si>
    <t>Денежные взыскания (штрафы) за нарушение законодательства в области охраны окружающей среды</t>
  </si>
  <si>
    <t>от 20.12.2017  № 131</t>
  </si>
  <si>
    <t>от  20.12.2017 №131</t>
  </si>
  <si>
    <t>Приложение 4
к решению Торжокской городской Думы
от 20.12.2017  № 131</t>
  </si>
  <si>
    <t>Приложение 5
к решению Торжокской городской Думы
от  20.12.2017  № 131</t>
  </si>
  <si>
    <t>Приложение 6
к решению Торжокской городской Думы
от 20.12.2017  № 131</t>
  </si>
  <si>
    <t xml:space="preserve">Приложение 7
к решению Торжокской городской Думы
от 20.12.2017  № 131 </t>
  </si>
  <si>
    <t>от 20.12.2017 № 131</t>
  </si>
  <si>
    <t>Приложение 9
к решению Торжокской городской Думы
от 20.12.2017  № 131</t>
  </si>
  <si>
    <t xml:space="preserve">от 20.12.2017 № 131 </t>
  </si>
  <si>
    <t xml:space="preserve">Приложение 3
к решению Торжокской городской Думы
от 20.12.2017  № 131 </t>
  </si>
</sst>
</file>

<file path=xl/styles.xml><?xml version="1.0" encoding="utf-8"?>
<styleSheet xmlns="http://schemas.openxmlformats.org/spreadsheetml/2006/main">
  <numFmts count="4">
    <numFmt numFmtId="164" formatCode="_-* #,##0.00&quot;р.&quot;_-;\-* #,##0.00&quot;р.&quot;_-;_-* &quot;-&quot;??&quot;р.&quot;_-;_-@_-"/>
    <numFmt numFmtId="165" formatCode="_-* #,##0.00_р_._-;\-* #,##0.00_р_._-;_-* &quot;-&quot;??_р_._-;_-@_-"/>
    <numFmt numFmtId="166" formatCode="0.0"/>
    <numFmt numFmtId="167" formatCode="#,##0.0"/>
  </numFmts>
  <fonts count="28">
    <font>
      <sz val="10"/>
      <name val="Arial Cyr"/>
      <family val="2"/>
    </font>
    <font>
      <sz val="10"/>
      <name val="Arial"/>
      <family val="2"/>
    </font>
    <font>
      <sz val="11"/>
      <color theme="1"/>
      <name val="Calibri"/>
      <family val="2"/>
      <scheme val="minor"/>
    </font>
    <font>
      <sz val="8"/>
      <name val="Arial Cyr"/>
      <family val="2"/>
    </font>
    <font>
      <sz val="13"/>
      <name val="Times New Roman"/>
      <family val="1"/>
    </font>
    <font>
      <b/>
      <sz val="13"/>
      <name val="Times New Roman"/>
      <family val="1"/>
    </font>
    <font>
      <sz val="12"/>
      <name val="Times New Roman"/>
      <family val="1"/>
    </font>
    <font>
      <sz val="10"/>
      <color rgb="FF000000"/>
      <name val="Times New Roman"/>
      <family val="1"/>
    </font>
    <font>
      <sz val="13"/>
      <color rgb="FF000000"/>
      <name val="Times New Roman"/>
      <family val="1"/>
    </font>
    <font>
      <b/>
      <sz val="13"/>
      <color rgb="FF000000"/>
      <name val="Times New Roman"/>
      <family val="1"/>
    </font>
    <font>
      <sz val="12"/>
      <color rgb="FF000000"/>
      <name val="Times New Roman"/>
      <family val="1"/>
    </font>
    <font>
      <sz val="11"/>
      <name val="Times New Roman"/>
      <family val="1"/>
    </font>
    <font>
      <b/>
      <sz val="13"/>
      <name val="Times New Roman Cyr"/>
      <family val="2"/>
    </font>
    <font>
      <sz val="13"/>
      <name val="Times New Roman Cyr"/>
      <family val="1"/>
    </font>
    <font>
      <sz val="10"/>
      <name val="Times New Roman"/>
      <family val="1"/>
    </font>
    <font>
      <sz val="13"/>
      <color indexed="8"/>
      <name val="Times New Roman"/>
      <family val="1"/>
    </font>
    <font>
      <b/>
      <sz val="13"/>
      <color indexed="8"/>
      <name val="Times New Roman"/>
      <family val="1"/>
    </font>
    <font>
      <sz val="12"/>
      <color indexed="8"/>
      <name val="Times New Roman"/>
      <family val="1"/>
    </font>
    <font>
      <sz val="13"/>
      <color rgb="FFFF0000"/>
      <name val="Times New Roman"/>
      <family val="1"/>
    </font>
    <font>
      <sz val="11"/>
      <color rgb="FFFF0000"/>
      <name val="Times New Roman"/>
      <family val="1"/>
    </font>
    <font>
      <sz val="12"/>
      <name val="Calibri"/>
      <family val="2"/>
      <scheme val="minor"/>
    </font>
    <font>
      <b/>
      <sz val="12"/>
      <name val="Calibri"/>
      <family val="2"/>
      <scheme val="minor"/>
    </font>
    <font>
      <b/>
      <sz val="14"/>
      <name val="Times New Roman"/>
      <family val="1"/>
    </font>
    <font>
      <sz val="9"/>
      <name val="Arial"/>
      <family val="2"/>
    </font>
    <font>
      <b/>
      <sz val="11"/>
      <name val="Times New Roman"/>
      <family val="1"/>
    </font>
    <font>
      <sz val="11"/>
      <color rgb="FFFF0000"/>
      <name val="Calibri"/>
      <family val="2"/>
      <scheme val="minor"/>
    </font>
    <font>
      <sz val="11"/>
      <name val="Calibri"/>
      <family val="2"/>
      <scheme val="minor"/>
    </font>
    <font>
      <sz val="11"/>
      <color rgb="FF000000"/>
      <name val="Calibri"/>
      <family val="2"/>
    </font>
  </fonts>
  <fills count="2">
    <fill>
      <patternFill/>
    </fill>
    <fill>
      <patternFill patternType="gray125"/>
    </fill>
  </fills>
  <borders count="20">
    <border>
      <left/>
      <right/>
      <top/>
      <bottom/>
      <diagonal/>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right/>
      <top style="thin"/>
      <bottom/>
    </border>
    <border>
      <left style="thin"/>
      <right/>
      <top style="thin"/>
      <bottom style="thin"/>
    </border>
    <border>
      <left/>
      <right style="thin"/>
      <top style="thin"/>
      <bottom style="thin"/>
    </border>
    <border>
      <left style="thin">
        <color rgb="FF000000"/>
      </left>
      <right/>
      <top/>
      <bottom style="thin">
        <color rgb="FF000000"/>
      </bottom>
    </border>
    <border>
      <left/>
      <right/>
      <top style="thin"/>
      <bottom style="thin"/>
    </border>
    <border>
      <left style="thin"/>
      <right style="thin"/>
      <top style="thin"/>
      <bottom/>
    </border>
    <border>
      <left style="thin"/>
      <right style="thin"/>
      <top/>
      <bottom/>
    </border>
    <border>
      <left style="thin"/>
      <right/>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border>
  </borders>
  <cellStyleXfs count="57">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165"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164" fontId="7" fillId="0" borderId="0">
      <alignment vertical="top" wrapText="1"/>
      <protection/>
    </xf>
    <xf numFmtId="164" fontId="7"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cellStyleXfs>
  <cellXfs count="243">
    <xf numFmtId="0" fontId="0" fillId="0" borderId="0" xfId="0" applyAlignment="1">
      <alignment wrapText="1"/>
    </xf>
    <xf numFmtId="0" fontId="4" fillId="0" borderId="0" xfId="0" applyFont="1" applyAlignment="1">
      <alignment horizontal="right"/>
    </xf>
    <xf numFmtId="0" fontId="4" fillId="0" borderId="0" xfId="0" applyFont="1" applyAlignment="1">
      <alignment wrapText="1"/>
    </xf>
    <xf numFmtId="0" fontId="5"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49"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49" fontId="4" fillId="0" borderId="0" xfId="0" applyNumberFormat="1" applyFont="1" applyFill="1" applyBorder="1" applyAlignment="1">
      <alignment horizontal="center"/>
    </xf>
    <xf numFmtId="49" fontId="4" fillId="0" borderId="0" xfId="0" applyNumberFormat="1" applyFont="1" applyFill="1" applyBorder="1" applyAlignment="1">
      <alignment horizontal="right"/>
    </xf>
    <xf numFmtId="0" fontId="4" fillId="0" borderId="0" xfId="0" applyFont="1" applyAlignment="1">
      <alignment horizontal="center"/>
    </xf>
    <xf numFmtId="0" fontId="4" fillId="0" borderId="1" xfId="0" applyFont="1" applyFill="1" applyBorder="1" applyAlignment="1" applyProtection="1">
      <alignment horizontal="left" vertical="center" wrapText="1"/>
      <protection locked="0"/>
    </xf>
    <xf numFmtId="49" fontId="4" fillId="0" borderId="1" xfId="0" applyNumberFormat="1" applyFont="1" applyFill="1" applyBorder="1" applyAlignment="1" applyProtection="1">
      <alignment horizontal="center" vertical="center"/>
      <protection locked="0"/>
    </xf>
    <xf numFmtId="0" fontId="4" fillId="0" borderId="1" xfId="0" applyFont="1" applyBorder="1" applyAlignment="1">
      <alignment horizont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166" fontId="5" fillId="0" borderId="1" xfId="0" applyNumberFormat="1" applyFont="1" applyBorder="1" applyAlignment="1">
      <alignment horizontal="center" vertical="center"/>
    </xf>
    <xf numFmtId="166" fontId="4" fillId="0" borderId="1" xfId="0" applyNumberFormat="1" applyFont="1" applyBorder="1" applyAlignment="1">
      <alignment horizontal="center" vertical="center"/>
    </xf>
    <xf numFmtId="0" fontId="4" fillId="0" borderId="1" xfId="0" applyFont="1" applyFill="1" applyBorder="1" applyAlignment="1">
      <alignment vertical="center" wrapText="1"/>
    </xf>
    <xf numFmtId="166" fontId="4"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164" fontId="8" fillId="0" borderId="0" xfId="31" applyNumberFormat="1" applyFont="1" applyFill="1" applyAlignment="1">
      <alignment vertical="top" wrapText="1"/>
      <protection/>
    </xf>
    <xf numFmtId="0" fontId="9" fillId="0" borderId="3" xfId="31" applyNumberFormat="1" applyFont="1" applyFill="1" applyBorder="1" applyAlignment="1">
      <alignment horizontal="center" vertical="center" wrapText="1"/>
      <protection/>
    </xf>
    <xf numFmtId="0" fontId="9" fillId="0" borderId="3" xfId="31" applyNumberFormat="1" applyFont="1" applyFill="1" applyBorder="1" applyAlignment="1">
      <alignment horizontal="left" vertical="center" wrapText="1"/>
      <protection/>
    </xf>
    <xf numFmtId="167" fontId="9" fillId="0" borderId="3" xfId="31" applyNumberFormat="1" applyFont="1" applyFill="1" applyBorder="1" applyAlignment="1">
      <alignment horizontal="center" vertical="center" wrapText="1"/>
      <protection/>
    </xf>
    <xf numFmtId="167" fontId="8" fillId="0" borderId="3" xfId="31" applyNumberFormat="1" applyFont="1" applyFill="1" applyBorder="1" applyAlignment="1">
      <alignment horizontal="center" vertical="center" wrapText="1"/>
      <protection/>
    </xf>
    <xf numFmtId="0" fontId="5" fillId="0" borderId="1" xfId="0" applyFont="1" applyFill="1" applyBorder="1" applyAlignment="1">
      <alignment horizontal="left" vertical="center"/>
    </xf>
    <xf numFmtId="164" fontId="8" fillId="0" borderId="0" xfId="31" applyNumberFormat="1" applyFont="1" applyFill="1" applyAlignment="1">
      <alignment vertical="center" wrapText="1"/>
      <protection/>
    </xf>
    <xf numFmtId="0" fontId="4" fillId="0" borderId="1" xfId="0" applyFont="1" applyFill="1" applyBorder="1" applyAlignment="1">
      <alignment horizontal="center" vertical="center"/>
    </xf>
    <xf numFmtId="49" fontId="4" fillId="0" borderId="1" xfId="0" applyNumberFormat="1" applyFont="1" applyFill="1" applyBorder="1" applyAlignment="1" applyProtection="1">
      <alignment horizontal="left" vertical="center" wrapText="1"/>
      <protection locked="0"/>
    </xf>
    <xf numFmtId="166" fontId="4" fillId="0" borderId="1" xfId="0" applyNumberFormat="1" applyFont="1" applyFill="1" applyBorder="1" applyAlignment="1">
      <alignment horizontal="center" vertical="center" wrapText="1"/>
    </xf>
    <xf numFmtId="49" fontId="8" fillId="0" borderId="3" xfId="31" applyNumberFormat="1" applyFont="1" applyFill="1" applyBorder="1" applyAlignment="1">
      <alignment horizontal="center" vertical="center" wrapText="1"/>
      <protection/>
    </xf>
    <xf numFmtId="0" fontId="4" fillId="0" borderId="0" xfId="0" applyFont="1" applyFill="1" applyAlignment="1">
      <alignment horizontal="center" vertical="center"/>
    </xf>
    <xf numFmtId="0" fontId="4" fillId="0" borderId="0" xfId="0" applyFont="1" applyFill="1" applyAlignment="1">
      <alignment wrapText="1"/>
    </xf>
    <xf numFmtId="0" fontId="6"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wrapText="1"/>
    </xf>
    <xf numFmtId="0" fontId="5" fillId="0" borderId="1" xfId="0" applyFont="1" applyFill="1" applyBorder="1" applyAlignment="1" applyProtection="1">
      <alignment horizontal="left"/>
      <protection locked="0"/>
    </xf>
    <xf numFmtId="166" fontId="5" fillId="0" borderId="1" xfId="0" applyNumberFormat="1" applyFont="1" applyFill="1" applyBorder="1" applyAlignment="1">
      <alignment horizontal="center" vertical="center" wrapText="1"/>
    </xf>
    <xf numFmtId="0" fontId="11" fillId="0" borderId="0" xfId="0" applyFont="1" applyFill="1" applyAlignment="1">
      <alignment wrapText="1"/>
    </xf>
    <xf numFmtId="0" fontId="5" fillId="0" borderId="1" xfId="0" applyFont="1" applyFill="1" applyBorder="1" applyAlignment="1">
      <alignment vertical="center" wrapText="1"/>
    </xf>
    <xf numFmtId="166" fontId="12" fillId="0" borderId="1" xfId="41" applyNumberFormat="1" applyFont="1" applyFill="1" applyBorder="1" applyAlignment="1">
      <alignment horizontal="center" vertical="center" wrapText="1"/>
      <protection/>
    </xf>
    <xf numFmtId="166" fontId="13" fillId="0" borderId="1" xfId="41" applyNumberFormat="1" applyFont="1" applyFill="1" applyBorder="1" applyAlignment="1">
      <alignment horizontal="center" vertical="center" wrapText="1"/>
      <protection/>
    </xf>
    <xf numFmtId="0" fontId="5" fillId="0" borderId="1" xfId="0" applyFont="1" applyFill="1" applyBorder="1" applyAlignment="1">
      <alignment horizontal="center" vertical="center"/>
    </xf>
    <xf numFmtId="0" fontId="5" fillId="0" borderId="0" xfId="0" applyFont="1" applyFill="1" applyAlignment="1">
      <alignment wrapText="1"/>
    </xf>
    <xf numFmtId="49" fontId="4" fillId="0" borderId="1" xfId="0" applyNumberFormat="1" applyFont="1" applyBorder="1" applyAlignment="1">
      <alignment horizontal="center" vertical="center" wrapText="1"/>
    </xf>
    <xf numFmtId="166" fontId="4" fillId="0" borderId="1" xfId="0" applyNumberFormat="1" applyFont="1" applyFill="1" applyBorder="1" applyAlignment="1">
      <alignment horizontal="center" vertical="center"/>
    </xf>
    <xf numFmtId="0" fontId="8" fillId="0" borderId="1" xfId="31" applyNumberFormat="1" applyFont="1" applyFill="1" applyBorder="1" applyAlignment="1">
      <alignment horizontal="center" vertical="center" wrapText="1"/>
      <protection/>
    </xf>
    <xf numFmtId="0" fontId="8" fillId="0" borderId="3" xfId="31" applyNumberFormat="1" applyFont="1" applyFill="1" applyBorder="1" applyAlignment="1">
      <alignment horizontal="left" vertical="center" wrapText="1"/>
      <protection/>
    </xf>
    <xf numFmtId="0" fontId="4" fillId="0" borderId="1" xfId="0" applyFont="1" applyFill="1" applyBorder="1" applyAlignment="1">
      <alignment horizontal="center" vertical="center" wrapText="1"/>
    </xf>
    <xf numFmtId="49" fontId="4" fillId="0" borderId="4" xfId="0" applyNumberFormat="1" applyFont="1" applyFill="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protection locked="0"/>
    </xf>
    <xf numFmtId="0" fontId="4" fillId="0" borderId="6" xfId="0" applyFont="1" applyFill="1" applyBorder="1" applyAlignment="1">
      <alignment horizontal="center" vertical="center" wrapText="1"/>
    </xf>
    <xf numFmtId="166" fontId="5" fillId="0" borderId="1" xfId="0" applyNumberFormat="1" applyFont="1" applyFill="1" applyBorder="1" applyAlignment="1">
      <alignment horizontal="center" vertical="center"/>
    </xf>
    <xf numFmtId="0" fontId="8" fillId="0" borderId="3" xfId="31" applyNumberFormat="1" applyFont="1" applyFill="1" applyBorder="1" applyAlignment="1">
      <alignment horizontal="center" vertical="center" wrapText="1"/>
      <protection/>
    </xf>
    <xf numFmtId="0" fontId="4" fillId="0" borderId="0" xfId="31" applyNumberFormat="1" applyFont="1" applyFill="1" applyAlignment="1">
      <alignment horizontal="right" vertical="top" wrapText="1"/>
      <protection/>
    </xf>
    <xf numFmtId="164" fontId="4" fillId="0" borderId="0" xfId="31" applyNumberFormat="1" applyFont="1" applyFill="1" applyAlignment="1">
      <alignment vertical="top" wrapText="1"/>
      <protection/>
    </xf>
    <xf numFmtId="0" fontId="5" fillId="0" borderId="3" xfId="31" applyNumberFormat="1" applyFont="1" applyFill="1" applyBorder="1" applyAlignment="1">
      <alignment horizontal="center" vertical="center" wrapText="1"/>
      <protection/>
    </xf>
    <xf numFmtId="0" fontId="5" fillId="0" borderId="3" xfId="31" applyNumberFormat="1" applyFont="1" applyFill="1" applyBorder="1" applyAlignment="1">
      <alignment horizontal="left" vertical="center" wrapText="1"/>
      <protection/>
    </xf>
    <xf numFmtId="167" fontId="5" fillId="0" borderId="3" xfId="31" applyNumberFormat="1" applyFont="1" applyFill="1" applyBorder="1" applyAlignment="1">
      <alignment horizontal="center" vertical="center" wrapText="1"/>
      <protection/>
    </xf>
    <xf numFmtId="0" fontId="4" fillId="0" borderId="3" xfId="31" applyNumberFormat="1" applyFont="1" applyFill="1" applyBorder="1" applyAlignment="1">
      <alignment vertical="center" wrapText="1"/>
      <protection/>
    </xf>
    <xf numFmtId="167" fontId="4" fillId="0" borderId="3" xfId="31" applyNumberFormat="1" applyFont="1" applyFill="1" applyBorder="1" applyAlignment="1">
      <alignment horizontal="center" vertical="center" wrapText="1"/>
      <protection/>
    </xf>
    <xf numFmtId="0" fontId="5" fillId="0" borderId="1" xfId="0" applyFont="1" applyFill="1" applyBorder="1" applyAlignment="1">
      <alignment vertical="top" wrapText="1"/>
    </xf>
    <xf numFmtId="49" fontId="4" fillId="0" borderId="3" xfId="31" applyNumberFormat="1" applyFont="1" applyFill="1" applyBorder="1" applyAlignment="1">
      <alignment horizontal="center" vertical="center" wrapText="1"/>
      <protection/>
    </xf>
    <xf numFmtId="0" fontId="4" fillId="0" borderId="1" xfId="31" applyNumberFormat="1" applyFont="1" applyFill="1" applyBorder="1" applyAlignment="1">
      <alignment horizontal="center" vertical="center" wrapText="1"/>
      <protection/>
    </xf>
    <xf numFmtId="0" fontId="4" fillId="0" borderId="1" xfId="31" applyNumberFormat="1" applyFont="1" applyFill="1" applyBorder="1" applyAlignment="1">
      <alignment horizontal="left" vertical="center" wrapText="1"/>
      <protection/>
    </xf>
    <xf numFmtId="167" fontId="4" fillId="0" borderId="1" xfId="31" applyNumberFormat="1" applyFont="1" applyFill="1" applyBorder="1" applyAlignment="1">
      <alignment horizontal="center" vertical="center" wrapText="1"/>
      <protection/>
    </xf>
    <xf numFmtId="0" fontId="4" fillId="0" borderId="7" xfId="31" applyNumberFormat="1" applyFont="1" applyFill="1" applyBorder="1" applyAlignment="1">
      <alignment horizontal="center" vertical="center" wrapText="1"/>
      <protection/>
    </xf>
    <xf numFmtId="164" fontId="4" fillId="0" borderId="0" xfId="31" applyNumberFormat="1" applyFont="1" applyFill="1" applyAlignment="1">
      <alignment horizontal="left" vertical="center" wrapText="1"/>
      <protection/>
    </xf>
    <xf numFmtId="164" fontId="14" fillId="0" borderId="0" xfId="31" applyNumberFormat="1" applyFont="1" applyFill="1" applyAlignment="1">
      <alignment vertical="top" wrapText="1"/>
      <protection/>
    </xf>
    <xf numFmtId="164" fontId="4" fillId="0" borderId="0" xfId="31" applyNumberFormat="1" applyFont="1" applyFill="1" applyAlignment="1">
      <alignment vertical="center" wrapText="1"/>
      <protection/>
    </xf>
    <xf numFmtId="164" fontId="4" fillId="0" borderId="0" xfId="31" applyNumberFormat="1" applyFont="1" applyFill="1" applyAlignment="1">
      <alignment horizontal="center" vertical="center" wrapText="1"/>
      <protection/>
    </xf>
    <xf numFmtId="164" fontId="4" fillId="0" borderId="0" xfId="32" applyNumberFormat="1" applyFont="1" applyFill="1" applyAlignment="1">
      <alignment vertical="center" wrapText="1"/>
      <protection/>
    </xf>
    <xf numFmtId="0" fontId="5" fillId="0" borderId="3" xfId="32" applyNumberFormat="1" applyFont="1" applyFill="1" applyBorder="1" applyAlignment="1">
      <alignment horizontal="left" vertical="center" wrapText="1"/>
      <protection/>
    </xf>
    <xf numFmtId="167" fontId="5" fillId="0" borderId="3" xfId="32" applyNumberFormat="1" applyFont="1" applyFill="1" applyBorder="1" applyAlignment="1">
      <alignment horizontal="center" vertical="center" wrapText="1"/>
      <protection/>
    </xf>
    <xf numFmtId="0" fontId="5" fillId="0" borderId="3" xfId="32" applyNumberFormat="1" applyFont="1" applyFill="1" applyBorder="1" applyAlignment="1">
      <alignment horizontal="center" vertical="center" wrapText="1"/>
      <protection/>
    </xf>
    <xf numFmtId="0" fontId="5" fillId="0" borderId="3" xfId="32" applyNumberFormat="1" applyFont="1" applyFill="1" applyBorder="1" applyAlignment="1">
      <alignment vertical="center" wrapText="1"/>
      <protection/>
    </xf>
    <xf numFmtId="0" fontId="4" fillId="0" borderId="3" xfId="32" applyNumberFormat="1" applyFont="1" applyFill="1" applyBorder="1" applyAlignment="1">
      <alignment vertical="center" wrapText="1"/>
      <protection/>
    </xf>
    <xf numFmtId="0" fontId="4" fillId="0" borderId="3" xfId="32" applyNumberFormat="1" applyFont="1" applyFill="1" applyBorder="1" applyAlignment="1">
      <alignment horizontal="left" vertical="center" wrapText="1"/>
      <protection/>
    </xf>
    <xf numFmtId="167" fontId="4" fillId="0" borderId="3" xfId="32" applyNumberFormat="1" applyFont="1" applyFill="1" applyBorder="1" applyAlignment="1">
      <alignment horizontal="center" vertical="center" wrapText="1"/>
      <protection/>
    </xf>
    <xf numFmtId="49" fontId="6" fillId="0" borderId="1" xfId="0" applyNumberFormat="1" applyFont="1" applyFill="1" applyBorder="1" applyAlignment="1">
      <alignment horizontal="center" vertical="center" wrapText="1"/>
    </xf>
    <xf numFmtId="0" fontId="4" fillId="0" borderId="1" xfId="32" applyNumberFormat="1" applyFont="1" applyFill="1" applyBorder="1" applyAlignment="1">
      <alignment horizontal="center" vertical="center" wrapText="1"/>
      <protection/>
    </xf>
    <xf numFmtId="167" fontId="4" fillId="0" borderId="1" xfId="32" applyNumberFormat="1" applyFont="1" applyFill="1" applyBorder="1" applyAlignment="1">
      <alignment horizontal="center" vertical="center" wrapText="1"/>
      <protection/>
    </xf>
    <xf numFmtId="164" fontId="4" fillId="0" borderId="0" xfId="31" applyNumberFormat="1" applyFont="1" applyFill="1" applyAlignment="1">
      <alignment horizontal="center" vertical="top" wrapText="1"/>
      <protection/>
    </xf>
    <xf numFmtId="0" fontId="15"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xf>
    <xf numFmtId="0" fontId="16" fillId="0" borderId="1" xfId="0" applyFont="1" applyFill="1" applyBorder="1" applyAlignment="1">
      <alignment vertical="top" wrapText="1"/>
    </xf>
    <xf numFmtId="49"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wrapText="1"/>
      <protection locked="0"/>
    </xf>
    <xf numFmtId="0" fontId="17" fillId="0" borderId="1" xfId="0" applyFont="1" applyFill="1" applyBorder="1" applyAlignment="1">
      <alignment horizontal="center" vertical="center" wrapText="1"/>
    </xf>
    <xf numFmtId="0" fontId="4" fillId="0" borderId="3" xfId="31" applyNumberFormat="1" applyFont="1" applyFill="1" applyBorder="1" applyAlignment="1">
      <alignment horizontal="left" vertical="center" wrapText="1"/>
      <protection/>
    </xf>
    <xf numFmtId="0" fontId="4" fillId="0" borderId="3" xfId="32" applyNumberFormat="1" applyFont="1" applyFill="1" applyBorder="1" applyAlignment="1">
      <alignment horizontal="center" vertical="center" wrapText="1"/>
      <protection/>
    </xf>
    <xf numFmtId="0" fontId="18" fillId="0" borderId="0" xfId="0" applyFont="1" applyFill="1" applyAlignment="1">
      <alignment wrapText="1"/>
    </xf>
    <xf numFmtId="0" fontId="19" fillId="0" borderId="0" xfId="0" applyFont="1" applyFill="1" applyAlignment="1">
      <alignment wrapText="1"/>
    </xf>
    <xf numFmtId="0" fontId="8" fillId="0" borderId="0" xfId="31" applyNumberFormat="1" applyFont="1" applyFill="1" applyAlignment="1">
      <alignment horizontal="right" vertical="top" wrapText="1"/>
      <protection/>
    </xf>
    <xf numFmtId="14" fontId="8" fillId="0" borderId="3" xfId="31" applyNumberFormat="1" applyFont="1" applyFill="1" applyBorder="1" applyAlignment="1">
      <alignment horizontal="center" vertical="center" wrapText="1"/>
      <protection/>
    </xf>
    <xf numFmtId="0" fontId="8" fillId="0" borderId="3" xfId="31" applyNumberFormat="1" applyFont="1" applyFill="1" applyBorder="1" applyAlignment="1">
      <alignment vertical="center" wrapText="1"/>
      <protection/>
    </xf>
    <xf numFmtId="0" fontId="20" fillId="0" borderId="0" xfId="53" applyFont="1" applyAlignment="1">
      <alignment horizontal="left"/>
      <protection/>
    </xf>
    <xf numFmtId="0" fontId="20" fillId="0" borderId="0" xfId="53" applyFont="1">
      <alignment/>
      <protection/>
    </xf>
    <xf numFmtId="0" fontId="20" fillId="0" borderId="0" xfId="53" applyFont="1" applyAlignment="1">
      <alignment horizontal="center"/>
      <protection/>
    </xf>
    <xf numFmtId="0" fontId="21" fillId="0" borderId="0" xfId="53" applyFont="1" applyAlignment="1">
      <alignment horizontal="center"/>
      <protection/>
    </xf>
    <xf numFmtId="0" fontId="22" fillId="0" borderId="0" xfId="53" applyFont="1" applyAlignment="1">
      <alignment horizontal="center"/>
      <protection/>
    </xf>
    <xf numFmtId="0" fontId="23" fillId="0" borderId="0" xfId="53" applyFont="1" applyAlignment="1">
      <alignment vertical="center" wrapText="1"/>
      <protection/>
    </xf>
    <xf numFmtId="0" fontId="11" fillId="0" borderId="1" xfId="53" applyFont="1" applyBorder="1" applyAlignment="1">
      <alignment horizontal="center" vertical="center" wrapText="1"/>
      <protection/>
    </xf>
    <xf numFmtId="0" fontId="24" fillId="0" borderId="1" xfId="53" applyFont="1" applyBorder="1" applyAlignment="1">
      <alignment horizontal="center" vertical="center" wrapText="1"/>
      <protection/>
    </xf>
    <xf numFmtId="0" fontId="11" fillId="0" borderId="1" xfId="53" applyFont="1" applyBorder="1" applyAlignment="1">
      <alignment horizontal="left" vertical="center" wrapText="1"/>
      <protection/>
    </xf>
    <xf numFmtId="166" fontId="24" fillId="0" borderId="1" xfId="53" applyNumberFormat="1" applyFont="1" applyBorder="1" applyAlignment="1">
      <alignment horizontal="center" vertical="center" wrapText="1"/>
      <protection/>
    </xf>
    <xf numFmtId="49" fontId="11" fillId="0" borderId="1" xfId="53" applyNumberFormat="1" applyFont="1" applyBorder="1" applyAlignment="1">
      <alignment horizontal="center" vertical="center" wrapText="1"/>
      <protection/>
    </xf>
    <xf numFmtId="166" fontId="11" fillId="0" borderId="1" xfId="53" applyNumberFormat="1" applyFont="1" applyBorder="1" applyAlignment="1">
      <alignment horizontal="center" vertical="center" wrapText="1"/>
      <protection/>
    </xf>
    <xf numFmtId="0" fontId="11" fillId="0" borderId="1" xfId="53" applyFont="1" applyFill="1" applyBorder="1" applyAlignment="1">
      <alignment horizontal="left" vertical="center" wrapText="1"/>
      <protection/>
    </xf>
    <xf numFmtId="0" fontId="11" fillId="0" borderId="1" xfId="53" applyFont="1" applyFill="1" applyBorder="1" applyAlignment="1">
      <alignment vertical="center" wrapText="1"/>
      <protection/>
    </xf>
    <xf numFmtId="166" fontId="11" fillId="0" borderId="1" xfId="53" applyNumberFormat="1" applyFont="1" applyFill="1" applyBorder="1" applyAlignment="1">
      <alignment horizontal="center" vertical="center" wrapText="1"/>
      <protection/>
    </xf>
    <xf numFmtId="166" fontId="24" fillId="0" borderId="1" xfId="53" applyNumberFormat="1" applyFont="1" applyFill="1" applyBorder="1" applyAlignment="1">
      <alignment horizontal="center" vertical="center" wrapText="1"/>
      <protection/>
    </xf>
    <xf numFmtId="49" fontId="11" fillId="0" borderId="1" xfId="53" applyNumberFormat="1" applyFont="1" applyFill="1" applyBorder="1" applyAlignment="1">
      <alignment horizontal="center" vertical="center" wrapText="1"/>
      <protection/>
    </xf>
    <xf numFmtId="0" fontId="11" fillId="0" borderId="1" xfId="54" applyFont="1" applyBorder="1" applyAlignment="1">
      <alignment horizontal="left" vertical="center" wrapText="1"/>
      <protection/>
    </xf>
    <xf numFmtId="0" fontId="11" fillId="0" borderId="1" xfId="54" applyFont="1" applyBorder="1" applyAlignment="1">
      <alignment horizontal="center" vertical="center" wrapText="1"/>
      <protection/>
    </xf>
    <xf numFmtId="0" fontId="11" fillId="0" borderId="0" xfId="53" applyFont="1" applyBorder="1" applyAlignment="1">
      <alignment horizontal="left" vertical="center" wrapText="1"/>
      <protection/>
    </xf>
    <xf numFmtId="0" fontId="11" fillId="0" borderId="0" xfId="53" applyFont="1" applyBorder="1" applyAlignment="1">
      <alignment horizontal="center" vertical="center" wrapText="1"/>
      <protection/>
    </xf>
    <xf numFmtId="166" fontId="11" fillId="0" borderId="0" xfId="53" applyNumberFormat="1" applyFont="1" applyFill="1" applyBorder="1" applyAlignment="1">
      <alignment horizontal="center" vertical="center" wrapText="1"/>
      <protection/>
    </xf>
    <xf numFmtId="166" fontId="24" fillId="0" borderId="0" xfId="53" applyNumberFormat="1" applyFont="1" applyBorder="1" applyAlignment="1">
      <alignment horizontal="center" vertical="center" wrapText="1"/>
      <protection/>
    </xf>
    <xf numFmtId="49" fontId="11" fillId="0" borderId="0" xfId="53" applyNumberFormat="1" applyFont="1" applyBorder="1" applyAlignment="1">
      <alignment horizontal="center" vertical="center" wrapText="1"/>
      <protection/>
    </xf>
    <xf numFmtId="49" fontId="4" fillId="0" borderId="0" xfId="55" applyNumberFormat="1" applyFont="1" applyFill="1" applyBorder="1" applyAlignment="1">
      <alignment horizontal="left" vertical="center"/>
      <protection/>
    </xf>
    <xf numFmtId="0" fontId="26" fillId="0" borderId="0" xfId="55" applyFont="1" applyAlignment="1">
      <alignment vertical="center"/>
      <protection/>
    </xf>
    <xf numFmtId="0" fontId="20" fillId="0" borderId="0" xfId="55" applyFont="1">
      <alignment/>
      <protection/>
    </xf>
    <xf numFmtId="0" fontId="6" fillId="0" borderId="0" xfId="55" applyFont="1" applyFill="1" applyBorder="1" applyAlignment="1">
      <alignment horizontal="left" vertical="center" wrapText="1"/>
      <protection/>
    </xf>
    <xf numFmtId="0" fontId="6" fillId="0" borderId="0" xfId="55" applyFont="1" applyFill="1" applyBorder="1" applyAlignment="1">
      <alignment horizontal="right" vertical="center"/>
      <protection/>
    </xf>
    <xf numFmtId="0" fontId="2" fillId="0" borderId="0" xfId="55" applyFont="1">
      <alignment/>
      <protection/>
    </xf>
    <xf numFmtId="167" fontId="2" fillId="0" borderId="0" xfId="55" applyNumberFormat="1" applyFont="1">
      <alignment/>
      <protection/>
    </xf>
    <xf numFmtId="0" fontId="4" fillId="0" borderId="0" xfId="55" applyFont="1" applyFill="1" applyBorder="1" applyAlignment="1">
      <alignment horizontal="left" vertical="center" wrapText="1"/>
      <protection/>
    </xf>
    <xf numFmtId="0" fontId="4" fillId="0" borderId="0" xfId="55" applyFont="1" applyFill="1" applyBorder="1" applyAlignment="1">
      <alignment horizontal="center" vertical="center"/>
      <protection/>
    </xf>
    <xf numFmtId="0" fontId="26" fillId="0" borderId="0" xfId="55" applyFont="1">
      <alignment/>
      <protection/>
    </xf>
    <xf numFmtId="0" fontId="5" fillId="0" borderId="1" xfId="55" applyFont="1" applyFill="1" applyBorder="1" applyAlignment="1">
      <alignment horizontal="center" vertical="center"/>
      <protection/>
    </xf>
    <xf numFmtId="49" fontId="5" fillId="0" borderId="1" xfId="55" applyNumberFormat="1" applyFont="1" applyFill="1" applyBorder="1" applyAlignment="1">
      <alignment horizontal="center" vertical="center"/>
      <protection/>
    </xf>
    <xf numFmtId="0" fontId="5" fillId="0" borderId="1" xfId="55" applyFont="1" applyFill="1" applyBorder="1" applyAlignment="1">
      <alignment horizontal="justify" vertical="center" wrapText="1"/>
      <protection/>
    </xf>
    <xf numFmtId="167" fontId="5" fillId="0" borderId="1" xfId="55" applyNumberFormat="1" applyFont="1" applyFill="1" applyBorder="1" applyAlignment="1">
      <alignment horizontal="center" vertical="center"/>
      <protection/>
    </xf>
    <xf numFmtId="166" fontId="2" fillId="0" borderId="0" xfId="55" applyNumberFormat="1" applyFont="1">
      <alignment/>
      <protection/>
    </xf>
    <xf numFmtId="10" fontId="2" fillId="0" borderId="0" xfId="55" applyNumberFormat="1" applyFont="1">
      <alignment/>
      <protection/>
    </xf>
    <xf numFmtId="49" fontId="4" fillId="0" borderId="1" xfId="55" applyNumberFormat="1" applyFont="1" applyFill="1" applyBorder="1" applyAlignment="1">
      <alignment horizontal="center" vertical="center"/>
      <protection/>
    </xf>
    <xf numFmtId="0" fontId="4" fillId="0" borderId="1" xfId="55" applyFont="1" applyFill="1" applyBorder="1" applyAlignment="1">
      <alignment horizontal="justify" vertical="center" wrapText="1"/>
      <protection/>
    </xf>
    <xf numFmtId="167" fontId="4" fillId="0" borderId="1" xfId="55" applyNumberFormat="1" applyFont="1" applyFill="1" applyBorder="1" applyAlignment="1">
      <alignment horizontal="center" vertical="center"/>
      <protection/>
    </xf>
    <xf numFmtId="166" fontId="2" fillId="0" borderId="0" xfId="55" applyNumberFormat="1" applyFont="1" applyAlignment="1">
      <alignment horizontal="center" vertical="center"/>
      <protection/>
    </xf>
    <xf numFmtId="49" fontId="5" fillId="0" borderId="1" xfId="55" applyNumberFormat="1" applyFont="1" applyBorder="1" applyAlignment="1">
      <alignment horizontal="center" vertical="center"/>
      <protection/>
    </xf>
    <xf numFmtId="49" fontId="4" fillId="0" borderId="1" xfId="55" applyNumberFormat="1" applyFont="1" applyBorder="1" applyAlignment="1">
      <alignment horizontal="center" vertical="center"/>
      <protection/>
    </xf>
    <xf numFmtId="167" fontId="4" fillId="0" borderId="1" xfId="55" applyNumberFormat="1" applyFont="1" applyFill="1" applyBorder="1" applyAlignment="1">
      <alignment horizontal="center" vertical="center" wrapText="1"/>
      <protection/>
    </xf>
    <xf numFmtId="167" fontId="5" fillId="0" borderId="1" xfId="55" applyNumberFormat="1" applyFont="1" applyFill="1" applyBorder="1" applyAlignment="1">
      <alignment horizontal="center" vertical="center" wrapText="1"/>
      <protection/>
    </xf>
    <xf numFmtId="0" fontId="2" fillId="0" borderId="0" xfId="55">
      <alignment/>
      <protection/>
    </xf>
    <xf numFmtId="0" fontId="4" fillId="0" borderId="1" xfId="55" applyFont="1" applyBorder="1" applyAlignment="1">
      <alignment horizontal="center" vertical="center"/>
      <protection/>
    </xf>
    <xf numFmtId="0" fontId="5" fillId="0" borderId="1" xfId="55" applyFont="1" applyBorder="1" applyAlignment="1">
      <alignment horizontal="center" vertical="center"/>
      <protection/>
    </xf>
    <xf numFmtId="167" fontId="25" fillId="0" borderId="0" xfId="55" applyNumberFormat="1" applyFont="1" applyAlignment="1">
      <alignment wrapText="1"/>
      <protection/>
    </xf>
    <xf numFmtId="167" fontId="25" fillId="0" borderId="0" xfId="55" applyNumberFormat="1" applyFont="1">
      <alignment/>
      <protection/>
    </xf>
    <xf numFmtId="167" fontId="2" fillId="0" borderId="0" xfId="55" applyNumberFormat="1" applyFont="1" applyAlignment="1">
      <alignment wrapText="1"/>
      <protection/>
    </xf>
    <xf numFmtId="3" fontId="4" fillId="0" borderId="1" xfId="55" applyNumberFormat="1" applyFont="1" applyBorder="1" applyAlignment="1">
      <alignment horizontal="center" vertical="center" wrapText="1"/>
      <protection/>
    </xf>
    <xf numFmtId="0" fontId="2" fillId="0" borderId="0" xfId="55" applyFont="1" applyAlignment="1">
      <alignment wrapText="1"/>
      <protection/>
    </xf>
    <xf numFmtId="0" fontId="5" fillId="0" borderId="1" xfId="55" applyNumberFormat="1" applyFont="1" applyFill="1" applyBorder="1" applyAlignment="1" applyProtection="1">
      <alignment horizontal="center" vertical="center"/>
      <protection/>
    </xf>
    <xf numFmtId="0" fontId="5" fillId="0" borderId="1" xfId="55" applyNumberFormat="1" applyFont="1" applyFill="1" applyBorder="1" applyAlignment="1" applyProtection="1">
      <alignment horizontal="justify" vertical="center" wrapText="1"/>
      <protection/>
    </xf>
    <xf numFmtId="0" fontId="5" fillId="0" borderId="1" xfId="55" applyFont="1" applyBorder="1" applyAlignment="1">
      <alignment horizontal="center" vertical="center" wrapText="1"/>
      <protection/>
    </xf>
    <xf numFmtId="0" fontId="5" fillId="0" borderId="1" xfId="55" applyFont="1" applyBorder="1" applyAlignment="1">
      <alignment horizontal="justify" vertical="center" wrapText="1"/>
      <protection/>
    </xf>
    <xf numFmtId="0" fontId="4" fillId="0" borderId="1" xfId="55" applyFont="1" applyBorder="1" applyAlignment="1">
      <alignment horizontal="justify" vertical="center" wrapText="1"/>
      <protection/>
    </xf>
    <xf numFmtId="0" fontId="4" fillId="0" borderId="1" xfId="55" applyNumberFormat="1" applyFont="1" applyFill="1" applyBorder="1" applyAlignment="1" applyProtection="1">
      <alignment horizontal="justify" vertical="center" wrapText="1"/>
      <protection/>
    </xf>
    <xf numFmtId="0" fontId="4" fillId="0" borderId="1" xfId="55" applyNumberFormat="1" applyFont="1" applyFill="1" applyBorder="1" applyAlignment="1" applyProtection="1">
      <alignment horizontal="center" vertical="center"/>
      <protection/>
    </xf>
    <xf numFmtId="0" fontId="5" fillId="0" borderId="1" xfId="56" applyFont="1" applyBorder="1" applyAlignment="1">
      <alignment horizontal="center" vertical="center"/>
      <protection/>
    </xf>
    <xf numFmtId="0" fontId="5" fillId="0" borderId="1" xfId="56" applyFont="1" applyBorder="1" applyAlignment="1">
      <alignment horizontal="justify" vertical="center" wrapText="1"/>
      <protection/>
    </xf>
    <xf numFmtId="167" fontId="5" fillId="0" borderId="1" xfId="56" applyNumberFormat="1" applyFont="1" applyBorder="1" applyAlignment="1">
      <alignment horizontal="center" vertical="center"/>
      <protection/>
    </xf>
    <xf numFmtId="0" fontId="27" fillId="0" borderId="0" xfId="56" applyFont="1">
      <alignment/>
      <protection/>
    </xf>
    <xf numFmtId="0" fontId="4" fillId="0" borderId="1" xfId="56" applyFont="1" applyBorder="1" applyAlignment="1">
      <alignment horizontal="center" vertical="center"/>
      <protection/>
    </xf>
    <xf numFmtId="0" fontId="4" fillId="0" borderId="1" xfId="56" applyFont="1" applyBorder="1" applyAlignment="1">
      <alignment horizontal="justify" vertical="center" wrapText="1"/>
      <protection/>
    </xf>
    <xf numFmtId="167" fontId="4" fillId="0" borderId="1" xfId="56" applyNumberFormat="1" applyFont="1" applyBorder="1" applyAlignment="1">
      <alignment horizontal="center" vertical="center"/>
      <protection/>
    </xf>
    <xf numFmtId="49" fontId="5" fillId="0" borderId="1" xfId="55" applyNumberFormat="1" applyFont="1" applyFill="1" applyBorder="1" applyAlignment="1">
      <alignment horizontal="left" vertical="center"/>
      <protection/>
    </xf>
    <xf numFmtId="0" fontId="5" fillId="0" borderId="1" xfId="55" applyFont="1" applyFill="1" applyBorder="1" applyAlignment="1">
      <alignment horizontal="left" vertical="center" wrapText="1"/>
      <protection/>
    </xf>
    <xf numFmtId="0" fontId="4" fillId="0" borderId="3" xfId="31" applyNumberFormat="1" applyFont="1" applyFill="1" applyBorder="1" applyAlignment="1">
      <alignment horizontal="center" vertical="center" wrapText="1"/>
      <protection/>
    </xf>
    <xf numFmtId="0" fontId="4" fillId="0" borderId="3" xfId="31" applyNumberFormat="1" applyFont="1" applyFill="1" applyBorder="1" applyAlignment="1">
      <alignment horizontal="left" vertical="center" wrapText="1"/>
      <protection/>
    </xf>
    <xf numFmtId="0" fontId="4" fillId="0" borderId="1" xfId="0" applyFont="1" applyFill="1" applyBorder="1" applyAlignment="1">
      <alignment horizontal="center" vertical="center" wrapText="1"/>
    </xf>
    <xf numFmtId="167" fontId="4" fillId="0" borderId="1" xfId="40" applyNumberFormat="1" applyFont="1" applyFill="1" applyBorder="1" applyAlignment="1">
      <alignment horizontal="center" vertical="center"/>
      <protection/>
    </xf>
    <xf numFmtId="49" fontId="4" fillId="0" borderId="1" xfId="40" applyNumberFormat="1" applyFont="1" applyFill="1" applyBorder="1" applyAlignment="1">
      <alignment horizontal="center" vertical="center"/>
      <protection/>
    </xf>
    <xf numFmtId="0" fontId="4" fillId="0" borderId="1" xfId="40" applyFont="1" applyFill="1" applyBorder="1" applyAlignment="1">
      <alignment horizontal="justify" vertical="center" wrapText="1"/>
      <protection/>
    </xf>
    <xf numFmtId="0" fontId="4" fillId="0" borderId="3" xfId="31" applyNumberFormat="1" applyFont="1" applyFill="1" applyBorder="1" applyAlignment="1">
      <alignment horizontal="center" vertical="center" wrapText="1"/>
      <protection/>
    </xf>
    <xf numFmtId="0" fontId="4" fillId="0" borderId="3" xfId="31" applyNumberFormat="1" applyFont="1" applyFill="1" applyBorder="1" applyAlignment="1">
      <alignment horizontal="left" vertical="center" wrapText="1"/>
      <protection/>
    </xf>
    <xf numFmtId="0" fontId="4" fillId="0" borderId="1" xfId="0" applyFont="1" applyFill="1" applyBorder="1" applyAlignment="1">
      <alignment horizontal="center" vertical="center" wrapText="1"/>
    </xf>
    <xf numFmtId="49" fontId="5" fillId="0" borderId="1" xfId="0" applyNumberFormat="1" applyFont="1" applyBorder="1" applyAlignment="1">
      <alignment horizontal="center"/>
    </xf>
    <xf numFmtId="0" fontId="6" fillId="0" borderId="0" xfId="0" applyFont="1" applyAlignment="1">
      <alignment horizontal="right"/>
    </xf>
    <xf numFmtId="0" fontId="5" fillId="0" borderId="0" xfId="0" applyFont="1" applyAlignment="1">
      <alignment horizont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167" fontId="2" fillId="0" borderId="11" xfId="55" applyNumberFormat="1" applyFont="1" applyBorder="1" applyAlignment="1">
      <alignment horizontal="center" vertical="center" wrapText="1"/>
      <protection/>
    </xf>
    <xf numFmtId="0" fontId="6" fillId="0" borderId="0" xfId="55" applyFont="1" applyFill="1" applyBorder="1" applyAlignment="1">
      <alignment horizontal="right" vertical="center"/>
      <protection/>
    </xf>
    <xf numFmtId="0" fontId="5" fillId="0" borderId="0" xfId="55" applyFont="1" applyFill="1" applyBorder="1" applyAlignment="1">
      <alignment horizontal="center" vertical="center" wrapText="1"/>
      <protection/>
    </xf>
    <xf numFmtId="49" fontId="5" fillId="0" borderId="1" xfId="55" applyNumberFormat="1" applyFont="1" applyFill="1" applyBorder="1" applyAlignment="1">
      <alignment horizontal="center" vertical="center" wrapText="1"/>
      <protection/>
    </xf>
    <xf numFmtId="0" fontId="5" fillId="0" borderId="1" xfId="55" applyFont="1" applyFill="1" applyBorder="1" applyAlignment="1">
      <alignment horizontal="center" vertical="center" wrapText="1"/>
      <protection/>
    </xf>
    <xf numFmtId="0" fontId="8" fillId="0" borderId="12" xfId="31" applyNumberFormat="1" applyFont="1" applyFill="1" applyBorder="1" applyAlignment="1">
      <alignment horizontal="center" vertical="center" wrapText="1"/>
      <protection/>
    </xf>
    <xf numFmtId="0" fontId="8" fillId="0" borderId="13" xfId="31" applyNumberFormat="1" applyFont="1" applyFill="1" applyBorder="1" applyAlignment="1">
      <alignment horizontal="center" vertical="center" wrapText="1"/>
      <protection/>
    </xf>
    <xf numFmtId="0" fontId="8" fillId="0" borderId="14" xfId="31" applyNumberFormat="1" applyFont="1" applyFill="1" applyBorder="1" applyAlignment="1">
      <alignment horizontal="center" vertical="center" wrapText="1"/>
      <protection/>
    </xf>
    <xf numFmtId="0" fontId="10" fillId="0" borderId="0" xfId="31" applyNumberFormat="1" applyFont="1" applyFill="1" applyAlignment="1">
      <alignment horizontal="right" vertical="center" wrapText="1"/>
      <protection/>
    </xf>
    <xf numFmtId="0" fontId="9" fillId="0" borderId="15" xfId="31" applyNumberFormat="1" applyFont="1" applyFill="1" applyBorder="1" applyAlignment="1">
      <alignment horizontal="center" vertical="center" wrapText="1"/>
      <protection/>
    </xf>
    <xf numFmtId="0" fontId="8" fillId="0" borderId="16" xfId="31" applyNumberFormat="1" applyFont="1" applyFill="1" applyBorder="1" applyAlignment="1">
      <alignment horizontal="center" vertical="center" wrapText="1"/>
      <protection/>
    </xf>
    <xf numFmtId="0" fontId="8" fillId="0" borderId="17" xfId="31" applyNumberFormat="1" applyFont="1" applyFill="1" applyBorder="1" applyAlignment="1">
      <alignment horizontal="center" vertical="center" wrapText="1"/>
      <protection/>
    </xf>
    <xf numFmtId="0" fontId="8" fillId="0" borderId="18" xfId="31" applyNumberFormat="1" applyFont="1" applyFill="1" applyBorder="1" applyAlignment="1">
      <alignment horizontal="center" vertical="center" wrapText="1"/>
      <protection/>
    </xf>
    <xf numFmtId="0" fontId="6" fillId="0" borderId="0" xfId="31" applyNumberFormat="1" applyFont="1" applyFill="1" applyAlignment="1">
      <alignment horizontal="right" vertical="top" wrapText="1"/>
      <protection/>
    </xf>
    <xf numFmtId="0" fontId="5" fillId="0" borderId="0" xfId="31" applyNumberFormat="1" applyFont="1" applyFill="1" applyAlignment="1">
      <alignment horizontal="center" vertical="center" wrapText="1"/>
      <protection/>
    </xf>
    <xf numFmtId="0" fontId="4" fillId="0" borderId="3" xfId="31" applyNumberFormat="1" applyFont="1" applyFill="1" applyBorder="1" applyAlignment="1">
      <alignment horizontal="center" vertical="center" wrapText="1"/>
      <protection/>
    </xf>
    <xf numFmtId="0" fontId="6" fillId="0" borderId="0" xfId="31" applyNumberFormat="1" applyFont="1" applyFill="1" applyAlignment="1">
      <alignment horizontal="right" vertical="center" wrapText="1"/>
      <protection/>
    </xf>
    <xf numFmtId="0" fontId="6" fillId="0" borderId="0" xfId="32" applyNumberFormat="1" applyFont="1" applyFill="1" applyAlignment="1">
      <alignment horizontal="right" vertical="center" wrapText="1"/>
      <protection/>
    </xf>
    <xf numFmtId="0" fontId="5" fillId="0" borderId="0" xfId="32" applyNumberFormat="1" applyFont="1" applyFill="1" applyAlignment="1">
      <alignment horizontal="center" vertical="center" wrapText="1"/>
      <protection/>
    </xf>
    <xf numFmtId="0" fontId="4" fillId="0" borderId="3" xfId="32" applyNumberFormat="1" applyFont="1" applyFill="1" applyBorder="1" applyAlignment="1">
      <alignment horizontal="center" vertical="center" wrapText="1"/>
      <protection/>
    </xf>
    <xf numFmtId="166" fontId="4" fillId="0" borderId="1" xfId="0" applyNumberFormat="1" applyFont="1" applyBorder="1" applyAlignment="1">
      <alignment horizontal="center" vertical="center" wrapText="1"/>
    </xf>
    <xf numFmtId="0" fontId="6" fillId="0" borderId="0" xfId="0" applyFont="1" applyFill="1" applyAlignment="1">
      <alignment horizontal="right"/>
    </xf>
    <xf numFmtId="0" fontId="4" fillId="0" borderId="0" xfId="0" applyFont="1" applyFill="1" applyAlignment="1">
      <alignment horizontal="center" vertical="center" wrapText="1"/>
    </xf>
    <xf numFmtId="0" fontId="5" fillId="0" borderId="19" xfId="0" applyFont="1" applyFill="1" applyBorder="1" applyAlignment="1">
      <alignment horizontal="center" vertical="center" wrapText="1"/>
    </xf>
    <xf numFmtId="0" fontId="4" fillId="0" borderId="1" xfId="0" applyFont="1" applyFill="1" applyBorder="1" applyAlignment="1">
      <alignment horizontal="center" vertical="center" wrapText="1"/>
    </xf>
    <xf numFmtId="1" fontId="4" fillId="0" borderId="1" xfId="0" applyNumberFormat="1" applyFont="1" applyBorder="1" applyAlignment="1">
      <alignment horizontal="center" vertical="center" wrapText="1"/>
    </xf>
    <xf numFmtId="0" fontId="10" fillId="0" borderId="0" xfId="31" applyNumberFormat="1" applyFont="1" applyFill="1" applyAlignment="1">
      <alignment horizontal="right" vertical="top" wrapText="1"/>
      <protection/>
    </xf>
    <xf numFmtId="0" fontId="9" fillId="0" borderId="0" xfId="31" applyNumberFormat="1" applyFont="1" applyFill="1" applyAlignment="1">
      <alignment horizontal="center" vertical="center" wrapText="1"/>
      <protection/>
    </xf>
    <xf numFmtId="0" fontId="8" fillId="0" borderId="3" xfId="31" applyNumberFormat="1" applyFont="1" applyFill="1" applyBorder="1" applyAlignment="1">
      <alignment horizontal="center" vertical="center" wrapText="1"/>
      <protection/>
    </xf>
    <xf numFmtId="0" fontId="11" fillId="0" borderId="1" xfId="53" applyFont="1" applyBorder="1" applyAlignment="1">
      <alignment horizontal="center" vertical="center" wrapText="1"/>
      <protection/>
    </xf>
    <xf numFmtId="0" fontId="22" fillId="0" borderId="0" xfId="53" applyFont="1" applyAlignment="1">
      <alignment horizontal="center"/>
      <protection/>
    </xf>
    <xf numFmtId="0" fontId="11" fillId="0" borderId="1" xfId="53" applyFont="1" applyBorder="1" applyAlignment="1">
      <alignment horizontal="left" vertical="center" wrapText="1"/>
      <protection/>
    </xf>
    <xf numFmtId="0" fontId="4" fillId="0" borderId="1" xfId="31" applyNumberFormat="1" applyFont="1" applyFill="1" applyBorder="1" applyAlignment="1">
      <alignment horizontal="center" vertical="center" wrapText="1"/>
      <protection/>
    </xf>
    <xf numFmtId="0" fontId="4" fillId="0" borderId="1" xfId="31" applyNumberFormat="1" applyFont="1" applyFill="1" applyBorder="1" applyAlignment="1">
      <alignment horizontal="left" vertical="center" wrapText="1"/>
      <protection/>
    </xf>
    <xf numFmtId="0" fontId="5" fillId="0" borderId="1" xfId="31" applyNumberFormat="1" applyFont="1" applyFill="1" applyBorder="1" applyAlignment="1">
      <alignment horizontal="center" vertical="center" wrapText="1"/>
      <protection/>
    </xf>
    <xf numFmtId="0" fontId="5" fillId="0" borderId="1" xfId="31" applyNumberFormat="1" applyFont="1" applyFill="1" applyBorder="1" applyAlignment="1">
      <alignment horizontal="left" vertical="center" wrapText="1"/>
      <protection/>
    </xf>
    <xf numFmtId="167" fontId="5" fillId="0" borderId="1" xfId="31" applyNumberFormat="1" applyFont="1" applyFill="1" applyBorder="1" applyAlignment="1">
      <alignment horizontal="center" vertical="center" wrapText="1"/>
      <protection/>
    </xf>
    <xf numFmtId="0" fontId="4" fillId="0" borderId="1" xfId="31" applyNumberFormat="1" applyFont="1" applyFill="1" applyBorder="1" applyAlignment="1">
      <alignment vertical="center" wrapText="1"/>
      <protection/>
    </xf>
    <xf numFmtId="49" fontId="4" fillId="0" borderId="1" xfId="31" applyNumberFormat="1" applyFont="1" applyFill="1" applyBorder="1" applyAlignment="1">
      <alignment horizontal="center" vertical="center" wrapText="1"/>
      <protection/>
    </xf>
    <xf numFmtId="164" fontId="4" fillId="0" borderId="1" xfId="31" applyNumberFormat="1" applyFont="1" applyFill="1" applyBorder="1" applyAlignment="1">
      <alignment vertical="top" wrapText="1"/>
      <protection/>
    </xf>
    <xf numFmtId="164" fontId="4" fillId="0" borderId="1" xfId="31" applyNumberFormat="1" applyFont="1" applyFill="1" applyBorder="1" applyAlignment="1">
      <alignment horizontal="center" vertical="top" wrapText="1"/>
      <protection/>
    </xf>
    <xf numFmtId="164" fontId="4" fillId="0" borderId="1" xfId="31" applyNumberFormat="1" applyFont="1" applyFill="1" applyBorder="1" applyAlignment="1">
      <alignment horizontal="left" vertical="center" wrapText="1"/>
      <protection/>
    </xf>
    <xf numFmtId="0" fontId="4" fillId="0" borderId="1" xfId="32" applyNumberFormat="1" applyFont="1" applyFill="1" applyBorder="1" applyAlignment="1">
      <alignment horizontal="center" vertical="center" wrapText="1"/>
      <protection/>
    </xf>
    <xf numFmtId="0" fontId="5" fillId="0" borderId="1" xfId="32" applyNumberFormat="1" applyFont="1" applyFill="1" applyBorder="1" applyAlignment="1">
      <alignment horizontal="center" vertical="center" wrapText="1"/>
      <protection/>
    </xf>
    <xf numFmtId="0" fontId="5" fillId="0" borderId="1" xfId="32" applyNumberFormat="1" applyFont="1" applyFill="1" applyBorder="1" applyAlignment="1">
      <alignment horizontal="left" vertical="center" wrapText="1"/>
      <protection/>
    </xf>
    <xf numFmtId="167" fontId="5" fillId="0" borderId="1" xfId="32" applyNumberFormat="1" applyFont="1" applyFill="1" applyBorder="1" applyAlignment="1">
      <alignment horizontal="center" vertical="center" wrapText="1"/>
      <protection/>
    </xf>
    <xf numFmtId="0" fontId="4" fillId="0" borderId="1" xfId="32" applyNumberFormat="1" applyFont="1" applyFill="1" applyBorder="1" applyAlignment="1">
      <alignment vertical="center" wrapText="1"/>
      <protection/>
    </xf>
    <xf numFmtId="0" fontId="4" fillId="0" borderId="1" xfId="32" applyNumberFormat="1" applyFont="1" applyFill="1" applyBorder="1" applyAlignment="1">
      <alignment horizontal="left" vertical="center" wrapText="1"/>
      <protection/>
    </xf>
    <xf numFmtId="0" fontId="8" fillId="0" borderId="1" xfId="31" applyNumberFormat="1" applyFont="1" applyFill="1" applyBorder="1" applyAlignment="1">
      <alignment horizontal="left" vertical="center" wrapText="1"/>
      <protection/>
    </xf>
  </cellXfs>
  <cellStyles count="43">
    <cellStyle name="Normal" xfId="0"/>
    <cellStyle name="Percent" xfId="15"/>
    <cellStyle name="Currency" xfId="16"/>
    <cellStyle name="Currency [0]" xfId="17"/>
    <cellStyle name="Comma" xfId="18"/>
    <cellStyle name="Comma [0]" xfId="19"/>
    <cellStyle name="Обычный 2" xfId="20"/>
    <cellStyle name="Обычный 3" xfId="21"/>
    <cellStyle name="Обычный 4" xfId="22"/>
    <cellStyle name="Финансовый 2" xfId="23"/>
    <cellStyle name="Обычный 5" xfId="24"/>
    <cellStyle name="Обычный 6" xfId="25"/>
    <cellStyle name="Обычный 7" xfId="26"/>
    <cellStyle name="Обычный 8" xfId="27"/>
    <cellStyle name="Обычный 4 2" xfId="28"/>
    <cellStyle name="Обычный 9" xfId="29"/>
    <cellStyle name="Обычный 2 2" xfId="30"/>
    <cellStyle name="Обычный 10" xfId="31"/>
    <cellStyle name="Обычный 11" xfId="32"/>
    <cellStyle name="Обычный 2 3" xfId="33"/>
    <cellStyle name="Обычный 2 4" xfId="34"/>
    <cellStyle name="Обычный 2 5" xfId="35"/>
    <cellStyle name="Обычный 2 6" xfId="36"/>
    <cellStyle name="Обычный 2 7" xfId="37"/>
    <cellStyle name="Обычный 4 2 2" xfId="38"/>
    <cellStyle name="Обычный 4 2 2 2" xfId="39"/>
    <cellStyle name="Обычный 2 8" xfId="40"/>
    <cellStyle name="Обычный_Прилож. № (общее образ) " xfId="41"/>
    <cellStyle name="Обычный 2 8 2" xfId="42"/>
    <cellStyle name="Обычный 12" xfId="43"/>
    <cellStyle name="Обычный 2 8 3" xfId="44"/>
    <cellStyle name="Обычный 13" xfId="45"/>
    <cellStyle name="Обычный 4 2 3" xfId="46"/>
    <cellStyle name="Обычный 2 8 4" xfId="47"/>
    <cellStyle name="Обычный 13 2" xfId="48"/>
    <cellStyle name="Обычный 4 2 3 2" xfId="49"/>
    <cellStyle name="Обычный 2 8 5" xfId="50"/>
    <cellStyle name="Обычный 2 8 6" xfId="51"/>
    <cellStyle name="Обычный 14" xfId="52"/>
    <cellStyle name="Обычный 13 2 2" xfId="53"/>
    <cellStyle name="Обычный 4 2 3 2 2" xfId="54"/>
    <cellStyle name="Обычный 2 8 7" xfId="55"/>
    <cellStyle name="Обычный 15"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5"/>
  <sheetViews>
    <sheetView workbookViewId="0" topLeftCell="A1">
      <selection activeCell="F4" sqref="F4"/>
    </sheetView>
  </sheetViews>
  <sheetFormatPr defaultColWidth="9.125" defaultRowHeight="12.75"/>
  <cols>
    <col min="1" max="1" width="30.625" style="2" customWidth="1"/>
    <col min="2" max="2" width="51.00390625" style="2" customWidth="1"/>
    <col min="3" max="3" width="11.75390625" style="13" customWidth="1"/>
    <col min="4" max="5" width="11.75390625" style="2" customWidth="1"/>
    <col min="6" max="16384" width="9.125" style="2" customWidth="1"/>
  </cols>
  <sheetData>
    <row r="1" spans="1:5" ht="12.75">
      <c r="A1" s="182" t="s">
        <v>27</v>
      </c>
      <c r="B1" s="182"/>
      <c r="C1" s="182"/>
      <c r="D1" s="182"/>
      <c r="E1" s="182"/>
    </row>
    <row r="2" spans="1:5" ht="12.75">
      <c r="A2" s="182" t="s">
        <v>681</v>
      </c>
      <c r="B2" s="182"/>
      <c r="C2" s="182"/>
      <c r="D2" s="182"/>
      <c r="E2" s="182"/>
    </row>
    <row r="3" spans="1:5" ht="12.75">
      <c r="A3" s="182" t="s">
        <v>994</v>
      </c>
      <c r="B3" s="182"/>
      <c r="C3" s="182"/>
      <c r="D3" s="182"/>
      <c r="E3" s="182"/>
    </row>
    <row r="5" spans="1:5" ht="16.9" customHeight="1">
      <c r="A5" s="183" t="s">
        <v>28</v>
      </c>
      <c r="B5" s="183"/>
      <c r="C5" s="183"/>
      <c r="D5" s="183"/>
      <c r="E5" s="183"/>
    </row>
    <row r="6" spans="1:5" ht="16.9" customHeight="1">
      <c r="A6" s="183" t="s">
        <v>317</v>
      </c>
      <c r="B6" s="183"/>
      <c r="C6" s="183"/>
      <c r="D6" s="183"/>
      <c r="E6" s="183"/>
    </row>
    <row r="8" spans="1:5" ht="20.25" customHeight="1">
      <c r="A8" s="187" t="s">
        <v>314</v>
      </c>
      <c r="B8" s="190" t="s">
        <v>24</v>
      </c>
      <c r="C8" s="184" t="s">
        <v>311</v>
      </c>
      <c r="D8" s="185"/>
      <c r="E8" s="186"/>
    </row>
    <row r="9" spans="1:5" ht="17.25" customHeight="1">
      <c r="A9" s="188"/>
      <c r="B9" s="191"/>
      <c r="C9" s="193" t="s">
        <v>318</v>
      </c>
      <c r="D9" s="193" t="s">
        <v>328</v>
      </c>
      <c r="E9" s="193"/>
    </row>
    <row r="10" spans="1:5" ht="17.25" customHeight="1">
      <c r="A10" s="189"/>
      <c r="B10" s="192"/>
      <c r="C10" s="193"/>
      <c r="D10" s="23" t="s">
        <v>319</v>
      </c>
      <c r="E10" s="23" t="s">
        <v>320</v>
      </c>
    </row>
    <row r="11" spans="1:5" ht="12.75">
      <c r="A11" s="17" t="s">
        <v>6</v>
      </c>
      <c r="B11" s="18">
        <v>2</v>
      </c>
      <c r="C11" s="18">
        <v>3</v>
      </c>
      <c r="D11" s="16">
        <v>4</v>
      </c>
      <c r="E11" s="16">
        <v>5</v>
      </c>
    </row>
    <row r="12" spans="1:5" ht="38.25" customHeight="1">
      <c r="A12" s="7" t="s">
        <v>321</v>
      </c>
      <c r="B12" s="8" t="s">
        <v>322</v>
      </c>
      <c r="C12" s="19">
        <f>C13</f>
        <v>-10000</v>
      </c>
      <c r="D12" s="19">
        <f aca="true" t="shared" si="0" ref="D12:E13">D13</f>
        <v>-10000</v>
      </c>
      <c r="E12" s="19">
        <f t="shared" si="0"/>
        <v>0</v>
      </c>
    </row>
    <row r="13" spans="1:5" ht="66">
      <c r="A13" s="9" t="s">
        <v>323</v>
      </c>
      <c r="B13" s="10" t="s">
        <v>324</v>
      </c>
      <c r="C13" s="20">
        <f>C14</f>
        <v>-10000</v>
      </c>
      <c r="D13" s="20">
        <f t="shared" si="0"/>
        <v>-10000</v>
      </c>
      <c r="E13" s="20">
        <f t="shared" si="0"/>
        <v>0</v>
      </c>
    </row>
    <row r="14" spans="1:5" ht="66">
      <c r="A14" s="9" t="s">
        <v>325</v>
      </c>
      <c r="B14" s="10" t="s">
        <v>326</v>
      </c>
      <c r="C14" s="22">
        <v>-10000</v>
      </c>
      <c r="D14" s="20">
        <v>-10000</v>
      </c>
      <c r="E14" s="20">
        <v>0</v>
      </c>
    </row>
    <row r="15" spans="1:5" ht="33">
      <c r="A15" s="7" t="s">
        <v>29</v>
      </c>
      <c r="B15" s="8" t="s">
        <v>113</v>
      </c>
      <c r="C15" s="19">
        <f>C16+C19</f>
        <v>15051.70000000007</v>
      </c>
      <c r="D15" s="19">
        <f aca="true" t="shared" si="1" ref="D15:E15">D16+D19</f>
        <v>0</v>
      </c>
      <c r="E15" s="19">
        <f t="shared" si="1"/>
        <v>0</v>
      </c>
    </row>
    <row r="16" spans="1:5" ht="12.75">
      <c r="A16" s="9" t="s">
        <v>30</v>
      </c>
      <c r="B16" s="10" t="s">
        <v>31</v>
      </c>
      <c r="C16" s="20">
        <f aca="true" t="shared" si="2" ref="C16:E17">C17</f>
        <v>-751379.7</v>
      </c>
      <c r="D16" s="49">
        <f t="shared" si="2"/>
        <v>-634418.9</v>
      </c>
      <c r="E16" s="49">
        <f t="shared" si="2"/>
        <v>-598970.5</v>
      </c>
    </row>
    <row r="17" spans="1:5" ht="33">
      <c r="A17" s="9" t="s">
        <v>32</v>
      </c>
      <c r="B17" s="10" t="s">
        <v>33</v>
      </c>
      <c r="C17" s="20">
        <f t="shared" si="2"/>
        <v>-751379.7</v>
      </c>
      <c r="D17" s="49">
        <f t="shared" si="2"/>
        <v>-634418.9</v>
      </c>
      <c r="E17" s="49">
        <f t="shared" si="2"/>
        <v>-598970.5</v>
      </c>
    </row>
    <row r="18" spans="1:5" ht="33">
      <c r="A18" s="9" t="s">
        <v>34</v>
      </c>
      <c r="B18" s="10" t="s">
        <v>35</v>
      </c>
      <c r="C18" s="20">
        <v>-751379.7</v>
      </c>
      <c r="D18" s="52">
        <v>-634418.9</v>
      </c>
      <c r="E18" s="52">
        <v>-598970.5</v>
      </c>
    </row>
    <row r="19" spans="1:5" ht="12.75">
      <c r="A19" s="9" t="s">
        <v>36</v>
      </c>
      <c r="B19" s="10" t="s">
        <v>37</v>
      </c>
      <c r="C19" s="20">
        <f aca="true" t="shared" si="3" ref="C19:E20">C20</f>
        <v>766431.4</v>
      </c>
      <c r="D19" s="49">
        <f t="shared" si="3"/>
        <v>634418.9</v>
      </c>
      <c r="E19" s="49">
        <f t="shared" si="3"/>
        <v>598970.5</v>
      </c>
    </row>
    <row r="20" spans="1:5" ht="33">
      <c r="A20" s="9" t="s">
        <v>38</v>
      </c>
      <c r="B20" s="10" t="s">
        <v>39</v>
      </c>
      <c r="C20" s="20">
        <f t="shared" si="3"/>
        <v>766431.4</v>
      </c>
      <c r="D20" s="49">
        <f t="shared" si="3"/>
        <v>634418.9</v>
      </c>
      <c r="E20" s="49">
        <f t="shared" si="3"/>
        <v>598970.5</v>
      </c>
    </row>
    <row r="21" spans="1:5" ht="33">
      <c r="A21" s="9" t="s">
        <v>40</v>
      </c>
      <c r="B21" s="10" t="s">
        <v>41</v>
      </c>
      <c r="C21" s="20">
        <f>756431.4+10000</f>
        <v>766431.4</v>
      </c>
      <c r="D21" s="52">
        <f>10000+624418.9</f>
        <v>634418.9</v>
      </c>
      <c r="E21" s="52">
        <v>598970.5</v>
      </c>
    </row>
    <row r="22" spans="1:5" ht="12.75">
      <c r="A22" s="181" t="s">
        <v>42</v>
      </c>
      <c r="B22" s="181"/>
      <c r="C22" s="19">
        <f>C15+C12</f>
        <v>5051.70000000007</v>
      </c>
      <c r="D22" s="19">
        <f aca="true" t="shared" si="4" ref="D22:E22">D15+D12</f>
        <v>-10000</v>
      </c>
      <c r="E22" s="19">
        <f t="shared" si="4"/>
        <v>0</v>
      </c>
    </row>
    <row r="24" spans="1:2" ht="12.75">
      <c r="A24" s="11"/>
      <c r="B24" s="12"/>
    </row>
    <row r="25" ht="12.75">
      <c r="B25" s="1"/>
    </row>
  </sheetData>
  <mergeCells count="11">
    <mergeCell ref="A22:B22"/>
    <mergeCell ref="A1:E1"/>
    <mergeCell ref="A2:E2"/>
    <mergeCell ref="A3:E3"/>
    <mergeCell ref="A5:E5"/>
    <mergeCell ref="A6:E6"/>
    <mergeCell ref="C8:E8"/>
    <mergeCell ref="A8:A10"/>
    <mergeCell ref="B8:B10"/>
    <mergeCell ref="C9:C10"/>
    <mergeCell ref="D9:E9"/>
  </mergeCells>
  <printOptions/>
  <pageMargins left="0.5905511811023623" right="0.1968503937007874" top="0.1968503937007874" bottom="0.1968503937007874" header="0.5118110236220472" footer="0.5118110236220472"/>
  <pageSetup fitToHeight="0"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P22"/>
  <sheetViews>
    <sheetView tabSelected="1" zoomScaleSheetLayoutView="100" workbookViewId="0" topLeftCell="C1">
      <selection activeCell="C26" sqref="C26"/>
    </sheetView>
  </sheetViews>
  <sheetFormatPr defaultColWidth="9.125" defaultRowHeight="12.75"/>
  <cols>
    <col min="1" max="1" width="5.625" style="100" customWidth="1"/>
    <col min="2" max="2" width="33.625" style="101" customWidth="1"/>
    <col min="3" max="3" width="15.625" style="101" customWidth="1"/>
    <col min="4" max="4" width="9.625" style="102" customWidth="1"/>
    <col min="5" max="5" width="11.75390625" style="102" customWidth="1"/>
    <col min="6" max="6" width="13.125" style="102" customWidth="1"/>
    <col min="7" max="7" width="9.125" style="103" customWidth="1"/>
    <col min="8" max="8" width="9.25390625" style="102" bestFit="1" customWidth="1"/>
    <col min="9" max="9" width="12.125" style="102" customWidth="1"/>
    <col min="10" max="10" width="12.75390625" style="102" customWidth="1"/>
    <col min="11" max="11" width="9.375" style="103" customWidth="1"/>
    <col min="12" max="12" width="9.25390625" style="102" bestFit="1" customWidth="1"/>
    <col min="13" max="13" width="13.125" style="102" customWidth="1"/>
    <col min="14" max="14" width="13.625" style="102" customWidth="1"/>
    <col min="15" max="15" width="9.625" style="103" customWidth="1"/>
    <col min="16" max="16" width="14.875" style="102" customWidth="1"/>
    <col min="17" max="256" width="9.125" style="101" customWidth="1"/>
    <col min="257" max="257" width="5.625" style="101" customWidth="1"/>
    <col min="258" max="258" width="33.625" style="101" customWidth="1"/>
    <col min="259" max="259" width="15.625" style="101" customWidth="1"/>
    <col min="260" max="260" width="9.625" style="101" customWidth="1"/>
    <col min="261" max="261" width="11.75390625" style="101" customWidth="1"/>
    <col min="262" max="262" width="13.125" style="101" customWidth="1"/>
    <col min="263" max="263" width="9.125" style="101" customWidth="1"/>
    <col min="264" max="264" width="9.25390625" style="101" bestFit="1" customWidth="1"/>
    <col min="265" max="265" width="12.125" style="101" customWidth="1"/>
    <col min="266" max="266" width="12.75390625" style="101" customWidth="1"/>
    <col min="267" max="267" width="9.375" style="101" customWidth="1"/>
    <col min="268" max="268" width="9.25390625" style="101" bestFit="1" customWidth="1"/>
    <col min="269" max="269" width="13.125" style="101" customWidth="1"/>
    <col min="270" max="270" width="13.625" style="101" customWidth="1"/>
    <col min="271" max="271" width="9.625" style="101" customWidth="1"/>
    <col min="272" max="272" width="14.875" style="101" customWidth="1"/>
    <col min="273" max="512" width="9.125" style="101" customWidth="1"/>
    <col min="513" max="513" width="5.625" style="101" customWidth="1"/>
    <col min="514" max="514" width="33.625" style="101" customWidth="1"/>
    <col min="515" max="515" width="15.625" style="101" customWidth="1"/>
    <col min="516" max="516" width="9.625" style="101" customWidth="1"/>
    <col min="517" max="517" width="11.75390625" style="101" customWidth="1"/>
    <col min="518" max="518" width="13.125" style="101" customWidth="1"/>
    <col min="519" max="519" width="9.125" style="101" customWidth="1"/>
    <col min="520" max="520" width="9.25390625" style="101" bestFit="1" customWidth="1"/>
    <col min="521" max="521" width="12.125" style="101" customWidth="1"/>
    <col min="522" max="522" width="12.75390625" style="101" customWidth="1"/>
    <col min="523" max="523" width="9.375" style="101" customWidth="1"/>
    <col min="524" max="524" width="9.25390625" style="101" bestFit="1" customWidth="1"/>
    <col min="525" max="525" width="13.125" style="101" customWidth="1"/>
    <col min="526" max="526" width="13.625" style="101" customWidth="1"/>
    <col min="527" max="527" width="9.625" style="101" customWidth="1"/>
    <col min="528" max="528" width="14.875" style="101" customWidth="1"/>
    <col min="529" max="768" width="9.125" style="101" customWidth="1"/>
    <col min="769" max="769" width="5.625" style="101" customWidth="1"/>
    <col min="770" max="770" width="33.625" style="101" customWidth="1"/>
    <col min="771" max="771" width="15.625" style="101" customWidth="1"/>
    <col min="772" max="772" width="9.625" style="101" customWidth="1"/>
    <col min="773" max="773" width="11.75390625" style="101" customWidth="1"/>
    <col min="774" max="774" width="13.125" style="101" customWidth="1"/>
    <col min="775" max="775" width="9.125" style="101" customWidth="1"/>
    <col min="776" max="776" width="9.25390625" style="101" bestFit="1" customWidth="1"/>
    <col min="777" max="777" width="12.125" style="101" customWidth="1"/>
    <col min="778" max="778" width="12.75390625" style="101" customWidth="1"/>
    <col min="779" max="779" width="9.375" style="101" customWidth="1"/>
    <col min="780" max="780" width="9.25390625" style="101" bestFit="1" customWidth="1"/>
    <col min="781" max="781" width="13.125" style="101" customWidth="1"/>
    <col min="782" max="782" width="13.625" style="101" customWidth="1"/>
    <col min="783" max="783" width="9.625" style="101" customWidth="1"/>
    <col min="784" max="784" width="14.875" style="101" customWidth="1"/>
    <col min="785" max="1024" width="9.125" style="101" customWidth="1"/>
    <col min="1025" max="1025" width="5.625" style="101" customWidth="1"/>
    <col min="1026" max="1026" width="33.625" style="101" customWidth="1"/>
    <col min="1027" max="1027" width="15.625" style="101" customWidth="1"/>
    <col min="1028" max="1028" width="9.625" style="101" customWidth="1"/>
    <col min="1029" max="1029" width="11.75390625" style="101" customWidth="1"/>
    <col min="1030" max="1030" width="13.125" style="101" customWidth="1"/>
    <col min="1031" max="1031" width="9.125" style="101" customWidth="1"/>
    <col min="1032" max="1032" width="9.25390625" style="101" bestFit="1" customWidth="1"/>
    <col min="1033" max="1033" width="12.125" style="101" customWidth="1"/>
    <col min="1034" max="1034" width="12.75390625" style="101" customWidth="1"/>
    <col min="1035" max="1035" width="9.375" style="101" customWidth="1"/>
    <col min="1036" max="1036" width="9.25390625" style="101" bestFit="1" customWidth="1"/>
    <col min="1037" max="1037" width="13.125" style="101" customWidth="1"/>
    <col min="1038" max="1038" width="13.625" style="101" customWidth="1"/>
    <col min="1039" max="1039" width="9.625" style="101" customWidth="1"/>
    <col min="1040" max="1040" width="14.875" style="101" customWidth="1"/>
    <col min="1041" max="1280" width="9.125" style="101" customWidth="1"/>
    <col min="1281" max="1281" width="5.625" style="101" customWidth="1"/>
    <col min="1282" max="1282" width="33.625" style="101" customWidth="1"/>
    <col min="1283" max="1283" width="15.625" style="101" customWidth="1"/>
    <col min="1284" max="1284" width="9.625" style="101" customWidth="1"/>
    <col min="1285" max="1285" width="11.75390625" style="101" customWidth="1"/>
    <col min="1286" max="1286" width="13.125" style="101" customWidth="1"/>
    <col min="1287" max="1287" width="9.125" style="101" customWidth="1"/>
    <col min="1288" max="1288" width="9.25390625" style="101" bestFit="1" customWidth="1"/>
    <col min="1289" max="1289" width="12.125" style="101" customWidth="1"/>
    <col min="1290" max="1290" width="12.75390625" style="101" customWidth="1"/>
    <col min="1291" max="1291" width="9.375" style="101" customWidth="1"/>
    <col min="1292" max="1292" width="9.25390625" style="101" bestFit="1" customWidth="1"/>
    <col min="1293" max="1293" width="13.125" style="101" customWidth="1"/>
    <col min="1294" max="1294" width="13.625" style="101" customWidth="1"/>
    <col min="1295" max="1295" width="9.625" style="101" customWidth="1"/>
    <col min="1296" max="1296" width="14.875" style="101" customWidth="1"/>
    <col min="1297" max="1536" width="9.125" style="101" customWidth="1"/>
    <col min="1537" max="1537" width="5.625" style="101" customWidth="1"/>
    <col min="1538" max="1538" width="33.625" style="101" customWidth="1"/>
    <col min="1539" max="1539" width="15.625" style="101" customWidth="1"/>
    <col min="1540" max="1540" width="9.625" style="101" customWidth="1"/>
    <col min="1541" max="1541" width="11.75390625" style="101" customWidth="1"/>
    <col min="1542" max="1542" width="13.125" style="101" customWidth="1"/>
    <col min="1543" max="1543" width="9.125" style="101" customWidth="1"/>
    <col min="1544" max="1544" width="9.25390625" style="101" bestFit="1" customWidth="1"/>
    <col min="1545" max="1545" width="12.125" style="101" customWidth="1"/>
    <col min="1546" max="1546" width="12.75390625" style="101" customWidth="1"/>
    <col min="1547" max="1547" width="9.375" style="101" customWidth="1"/>
    <col min="1548" max="1548" width="9.25390625" style="101" bestFit="1" customWidth="1"/>
    <col min="1549" max="1549" width="13.125" style="101" customWidth="1"/>
    <col min="1550" max="1550" width="13.625" style="101" customWidth="1"/>
    <col min="1551" max="1551" width="9.625" style="101" customWidth="1"/>
    <col min="1552" max="1552" width="14.875" style="101" customWidth="1"/>
    <col min="1553" max="1792" width="9.125" style="101" customWidth="1"/>
    <col min="1793" max="1793" width="5.625" style="101" customWidth="1"/>
    <col min="1794" max="1794" width="33.625" style="101" customWidth="1"/>
    <col min="1795" max="1795" width="15.625" style="101" customWidth="1"/>
    <col min="1796" max="1796" width="9.625" style="101" customWidth="1"/>
    <col min="1797" max="1797" width="11.75390625" style="101" customWidth="1"/>
    <col min="1798" max="1798" width="13.125" style="101" customWidth="1"/>
    <col min="1799" max="1799" width="9.125" style="101" customWidth="1"/>
    <col min="1800" max="1800" width="9.25390625" style="101" bestFit="1" customWidth="1"/>
    <col min="1801" max="1801" width="12.125" style="101" customWidth="1"/>
    <col min="1802" max="1802" width="12.75390625" style="101" customWidth="1"/>
    <col min="1803" max="1803" width="9.375" style="101" customWidth="1"/>
    <col min="1804" max="1804" width="9.25390625" style="101" bestFit="1" customWidth="1"/>
    <col min="1805" max="1805" width="13.125" style="101" customWidth="1"/>
    <col min="1806" max="1806" width="13.625" style="101" customWidth="1"/>
    <col min="1807" max="1807" width="9.625" style="101" customWidth="1"/>
    <col min="1808" max="1808" width="14.875" style="101" customWidth="1"/>
    <col min="1809" max="2048" width="9.125" style="101" customWidth="1"/>
    <col min="2049" max="2049" width="5.625" style="101" customWidth="1"/>
    <col min="2050" max="2050" width="33.625" style="101" customWidth="1"/>
    <col min="2051" max="2051" width="15.625" style="101" customWidth="1"/>
    <col min="2052" max="2052" width="9.625" style="101" customWidth="1"/>
    <col min="2053" max="2053" width="11.75390625" style="101" customWidth="1"/>
    <col min="2054" max="2054" width="13.125" style="101" customWidth="1"/>
    <col min="2055" max="2055" width="9.125" style="101" customWidth="1"/>
    <col min="2056" max="2056" width="9.25390625" style="101" bestFit="1" customWidth="1"/>
    <col min="2057" max="2057" width="12.125" style="101" customWidth="1"/>
    <col min="2058" max="2058" width="12.75390625" style="101" customWidth="1"/>
    <col min="2059" max="2059" width="9.375" style="101" customWidth="1"/>
    <col min="2060" max="2060" width="9.25390625" style="101" bestFit="1" customWidth="1"/>
    <col min="2061" max="2061" width="13.125" style="101" customWidth="1"/>
    <col min="2062" max="2062" width="13.625" style="101" customWidth="1"/>
    <col min="2063" max="2063" width="9.625" style="101" customWidth="1"/>
    <col min="2064" max="2064" width="14.875" style="101" customWidth="1"/>
    <col min="2065" max="2304" width="9.125" style="101" customWidth="1"/>
    <col min="2305" max="2305" width="5.625" style="101" customWidth="1"/>
    <col min="2306" max="2306" width="33.625" style="101" customWidth="1"/>
    <col min="2307" max="2307" width="15.625" style="101" customWidth="1"/>
    <col min="2308" max="2308" width="9.625" style="101" customWidth="1"/>
    <col min="2309" max="2309" width="11.75390625" style="101" customWidth="1"/>
    <col min="2310" max="2310" width="13.125" style="101" customWidth="1"/>
    <col min="2311" max="2311" width="9.125" style="101" customWidth="1"/>
    <col min="2312" max="2312" width="9.25390625" style="101" bestFit="1" customWidth="1"/>
    <col min="2313" max="2313" width="12.125" style="101" customWidth="1"/>
    <col min="2314" max="2314" width="12.75390625" style="101" customWidth="1"/>
    <col min="2315" max="2315" width="9.375" style="101" customWidth="1"/>
    <col min="2316" max="2316" width="9.25390625" style="101" bestFit="1" customWidth="1"/>
    <col min="2317" max="2317" width="13.125" style="101" customWidth="1"/>
    <col min="2318" max="2318" width="13.625" style="101" customWidth="1"/>
    <col min="2319" max="2319" width="9.625" style="101" customWidth="1"/>
    <col min="2320" max="2320" width="14.875" style="101" customWidth="1"/>
    <col min="2321" max="2560" width="9.125" style="101" customWidth="1"/>
    <col min="2561" max="2561" width="5.625" style="101" customWidth="1"/>
    <col min="2562" max="2562" width="33.625" style="101" customWidth="1"/>
    <col min="2563" max="2563" width="15.625" style="101" customWidth="1"/>
    <col min="2564" max="2564" width="9.625" style="101" customWidth="1"/>
    <col min="2565" max="2565" width="11.75390625" style="101" customWidth="1"/>
    <col min="2566" max="2566" width="13.125" style="101" customWidth="1"/>
    <col min="2567" max="2567" width="9.125" style="101" customWidth="1"/>
    <col min="2568" max="2568" width="9.25390625" style="101" bestFit="1" customWidth="1"/>
    <col min="2569" max="2569" width="12.125" style="101" customWidth="1"/>
    <col min="2570" max="2570" width="12.75390625" style="101" customWidth="1"/>
    <col min="2571" max="2571" width="9.375" style="101" customWidth="1"/>
    <col min="2572" max="2572" width="9.25390625" style="101" bestFit="1" customWidth="1"/>
    <col min="2573" max="2573" width="13.125" style="101" customWidth="1"/>
    <col min="2574" max="2574" width="13.625" style="101" customWidth="1"/>
    <col min="2575" max="2575" width="9.625" style="101" customWidth="1"/>
    <col min="2576" max="2576" width="14.875" style="101" customWidth="1"/>
    <col min="2577" max="2816" width="9.125" style="101" customWidth="1"/>
    <col min="2817" max="2817" width="5.625" style="101" customWidth="1"/>
    <col min="2818" max="2818" width="33.625" style="101" customWidth="1"/>
    <col min="2819" max="2819" width="15.625" style="101" customWidth="1"/>
    <col min="2820" max="2820" width="9.625" style="101" customWidth="1"/>
    <col min="2821" max="2821" width="11.75390625" style="101" customWidth="1"/>
    <col min="2822" max="2822" width="13.125" style="101" customWidth="1"/>
    <col min="2823" max="2823" width="9.125" style="101" customWidth="1"/>
    <col min="2824" max="2824" width="9.25390625" style="101" bestFit="1" customWidth="1"/>
    <col min="2825" max="2825" width="12.125" style="101" customWidth="1"/>
    <col min="2826" max="2826" width="12.75390625" style="101" customWidth="1"/>
    <col min="2827" max="2827" width="9.375" style="101" customWidth="1"/>
    <col min="2828" max="2828" width="9.25390625" style="101" bestFit="1" customWidth="1"/>
    <col min="2829" max="2829" width="13.125" style="101" customWidth="1"/>
    <col min="2830" max="2830" width="13.625" style="101" customWidth="1"/>
    <col min="2831" max="2831" width="9.625" style="101" customWidth="1"/>
    <col min="2832" max="2832" width="14.875" style="101" customWidth="1"/>
    <col min="2833" max="3072" width="9.125" style="101" customWidth="1"/>
    <col min="3073" max="3073" width="5.625" style="101" customWidth="1"/>
    <col min="3074" max="3074" width="33.625" style="101" customWidth="1"/>
    <col min="3075" max="3075" width="15.625" style="101" customWidth="1"/>
    <col min="3076" max="3076" width="9.625" style="101" customWidth="1"/>
    <col min="3077" max="3077" width="11.75390625" style="101" customWidth="1"/>
    <col min="3078" max="3078" width="13.125" style="101" customWidth="1"/>
    <col min="3079" max="3079" width="9.125" style="101" customWidth="1"/>
    <col min="3080" max="3080" width="9.25390625" style="101" bestFit="1" customWidth="1"/>
    <col min="3081" max="3081" width="12.125" style="101" customWidth="1"/>
    <col min="3082" max="3082" width="12.75390625" style="101" customWidth="1"/>
    <col min="3083" max="3083" width="9.375" style="101" customWidth="1"/>
    <col min="3084" max="3084" width="9.25390625" style="101" bestFit="1" customWidth="1"/>
    <col min="3085" max="3085" width="13.125" style="101" customWidth="1"/>
    <col min="3086" max="3086" width="13.625" style="101" customWidth="1"/>
    <col min="3087" max="3087" width="9.625" style="101" customWidth="1"/>
    <col min="3088" max="3088" width="14.875" style="101" customWidth="1"/>
    <col min="3089" max="3328" width="9.125" style="101" customWidth="1"/>
    <col min="3329" max="3329" width="5.625" style="101" customWidth="1"/>
    <col min="3330" max="3330" width="33.625" style="101" customWidth="1"/>
    <col min="3331" max="3331" width="15.625" style="101" customWidth="1"/>
    <col min="3332" max="3332" width="9.625" style="101" customWidth="1"/>
    <col min="3333" max="3333" width="11.75390625" style="101" customWidth="1"/>
    <col min="3334" max="3334" width="13.125" style="101" customWidth="1"/>
    <col min="3335" max="3335" width="9.125" style="101" customWidth="1"/>
    <col min="3336" max="3336" width="9.25390625" style="101" bestFit="1" customWidth="1"/>
    <col min="3337" max="3337" width="12.125" style="101" customWidth="1"/>
    <col min="3338" max="3338" width="12.75390625" style="101" customWidth="1"/>
    <col min="3339" max="3339" width="9.375" style="101" customWidth="1"/>
    <col min="3340" max="3340" width="9.25390625" style="101" bestFit="1" customWidth="1"/>
    <col min="3341" max="3341" width="13.125" style="101" customWidth="1"/>
    <col min="3342" max="3342" width="13.625" style="101" customWidth="1"/>
    <col min="3343" max="3343" width="9.625" style="101" customWidth="1"/>
    <col min="3344" max="3344" width="14.875" style="101" customWidth="1"/>
    <col min="3345" max="3584" width="9.125" style="101" customWidth="1"/>
    <col min="3585" max="3585" width="5.625" style="101" customWidth="1"/>
    <col min="3586" max="3586" width="33.625" style="101" customWidth="1"/>
    <col min="3587" max="3587" width="15.625" style="101" customWidth="1"/>
    <col min="3588" max="3588" width="9.625" style="101" customWidth="1"/>
    <col min="3589" max="3589" width="11.75390625" style="101" customWidth="1"/>
    <col min="3590" max="3590" width="13.125" style="101" customWidth="1"/>
    <col min="3591" max="3591" width="9.125" style="101" customWidth="1"/>
    <col min="3592" max="3592" width="9.25390625" style="101" bestFit="1" customWidth="1"/>
    <col min="3593" max="3593" width="12.125" style="101" customWidth="1"/>
    <col min="3594" max="3594" width="12.75390625" style="101" customWidth="1"/>
    <col min="3595" max="3595" width="9.375" style="101" customWidth="1"/>
    <col min="3596" max="3596" width="9.25390625" style="101" bestFit="1" customWidth="1"/>
    <col min="3597" max="3597" width="13.125" style="101" customWidth="1"/>
    <col min="3598" max="3598" width="13.625" style="101" customWidth="1"/>
    <col min="3599" max="3599" width="9.625" style="101" customWidth="1"/>
    <col min="3600" max="3600" width="14.875" style="101" customWidth="1"/>
    <col min="3601" max="3840" width="9.125" style="101" customWidth="1"/>
    <col min="3841" max="3841" width="5.625" style="101" customWidth="1"/>
    <col min="3842" max="3842" width="33.625" style="101" customWidth="1"/>
    <col min="3843" max="3843" width="15.625" style="101" customWidth="1"/>
    <col min="3844" max="3844" width="9.625" style="101" customWidth="1"/>
    <col min="3845" max="3845" width="11.75390625" style="101" customWidth="1"/>
    <col min="3846" max="3846" width="13.125" style="101" customWidth="1"/>
    <col min="3847" max="3847" width="9.125" style="101" customWidth="1"/>
    <col min="3848" max="3848" width="9.25390625" style="101" bestFit="1" customWidth="1"/>
    <col min="3849" max="3849" width="12.125" style="101" customWidth="1"/>
    <col min="3850" max="3850" width="12.75390625" style="101" customWidth="1"/>
    <col min="3851" max="3851" width="9.375" style="101" customWidth="1"/>
    <col min="3852" max="3852" width="9.25390625" style="101" bestFit="1" customWidth="1"/>
    <col min="3853" max="3853" width="13.125" style="101" customWidth="1"/>
    <col min="3854" max="3854" width="13.625" style="101" customWidth="1"/>
    <col min="3855" max="3855" width="9.625" style="101" customWidth="1"/>
    <col min="3856" max="3856" width="14.875" style="101" customWidth="1"/>
    <col min="3857" max="4096" width="9.125" style="101" customWidth="1"/>
    <col min="4097" max="4097" width="5.625" style="101" customWidth="1"/>
    <col min="4098" max="4098" width="33.625" style="101" customWidth="1"/>
    <col min="4099" max="4099" width="15.625" style="101" customWidth="1"/>
    <col min="4100" max="4100" width="9.625" style="101" customWidth="1"/>
    <col min="4101" max="4101" width="11.75390625" style="101" customWidth="1"/>
    <col min="4102" max="4102" width="13.125" style="101" customWidth="1"/>
    <col min="4103" max="4103" width="9.125" style="101" customWidth="1"/>
    <col min="4104" max="4104" width="9.25390625" style="101" bestFit="1" customWidth="1"/>
    <col min="4105" max="4105" width="12.125" style="101" customWidth="1"/>
    <col min="4106" max="4106" width="12.75390625" style="101" customWidth="1"/>
    <col min="4107" max="4107" width="9.375" style="101" customWidth="1"/>
    <col min="4108" max="4108" width="9.25390625" style="101" bestFit="1" customWidth="1"/>
    <col min="4109" max="4109" width="13.125" style="101" customWidth="1"/>
    <col min="4110" max="4110" width="13.625" style="101" customWidth="1"/>
    <col min="4111" max="4111" width="9.625" style="101" customWidth="1"/>
    <col min="4112" max="4112" width="14.875" style="101" customWidth="1"/>
    <col min="4113" max="4352" width="9.125" style="101" customWidth="1"/>
    <col min="4353" max="4353" width="5.625" style="101" customWidth="1"/>
    <col min="4354" max="4354" width="33.625" style="101" customWidth="1"/>
    <col min="4355" max="4355" width="15.625" style="101" customWidth="1"/>
    <col min="4356" max="4356" width="9.625" style="101" customWidth="1"/>
    <col min="4357" max="4357" width="11.75390625" style="101" customWidth="1"/>
    <col min="4358" max="4358" width="13.125" style="101" customWidth="1"/>
    <col min="4359" max="4359" width="9.125" style="101" customWidth="1"/>
    <col min="4360" max="4360" width="9.25390625" style="101" bestFit="1" customWidth="1"/>
    <col min="4361" max="4361" width="12.125" style="101" customWidth="1"/>
    <col min="4362" max="4362" width="12.75390625" style="101" customWidth="1"/>
    <col min="4363" max="4363" width="9.375" style="101" customWidth="1"/>
    <col min="4364" max="4364" width="9.25390625" style="101" bestFit="1" customWidth="1"/>
    <col min="4365" max="4365" width="13.125" style="101" customWidth="1"/>
    <col min="4366" max="4366" width="13.625" style="101" customWidth="1"/>
    <col min="4367" max="4367" width="9.625" style="101" customWidth="1"/>
    <col min="4368" max="4368" width="14.875" style="101" customWidth="1"/>
    <col min="4369" max="4608" width="9.125" style="101" customWidth="1"/>
    <col min="4609" max="4609" width="5.625" style="101" customWidth="1"/>
    <col min="4610" max="4610" width="33.625" style="101" customWidth="1"/>
    <col min="4611" max="4611" width="15.625" style="101" customWidth="1"/>
    <col min="4612" max="4612" width="9.625" style="101" customWidth="1"/>
    <col min="4613" max="4613" width="11.75390625" style="101" customWidth="1"/>
    <col min="4614" max="4614" width="13.125" style="101" customWidth="1"/>
    <col min="4615" max="4615" width="9.125" style="101" customWidth="1"/>
    <col min="4616" max="4616" width="9.25390625" style="101" bestFit="1" customWidth="1"/>
    <col min="4617" max="4617" width="12.125" style="101" customWidth="1"/>
    <col min="4618" max="4618" width="12.75390625" style="101" customWidth="1"/>
    <col min="4619" max="4619" width="9.375" style="101" customWidth="1"/>
    <col min="4620" max="4620" width="9.25390625" style="101" bestFit="1" customWidth="1"/>
    <col min="4621" max="4621" width="13.125" style="101" customWidth="1"/>
    <col min="4622" max="4622" width="13.625" style="101" customWidth="1"/>
    <col min="4623" max="4623" width="9.625" style="101" customWidth="1"/>
    <col min="4624" max="4624" width="14.875" style="101" customWidth="1"/>
    <col min="4625" max="4864" width="9.125" style="101" customWidth="1"/>
    <col min="4865" max="4865" width="5.625" style="101" customWidth="1"/>
    <col min="4866" max="4866" width="33.625" style="101" customWidth="1"/>
    <col min="4867" max="4867" width="15.625" style="101" customWidth="1"/>
    <col min="4868" max="4868" width="9.625" style="101" customWidth="1"/>
    <col min="4869" max="4869" width="11.75390625" style="101" customWidth="1"/>
    <col min="4870" max="4870" width="13.125" style="101" customWidth="1"/>
    <col min="4871" max="4871" width="9.125" style="101" customWidth="1"/>
    <col min="4872" max="4872" width="9.25390625" style="101" bestFit="1" customWidth="1"/>
    <col min="4873" max="4873" width="12.125" style="101" customWidth="1"/>
    <col min="4874" max="4874" width="12.75390625" style="101" customWidth="1"/>
    <col min="4875" max="4875" width="9.375" style="101" customWidth="1"/>
    <col min="4876" max="4876" width="9.25390625" style="101" bestFit="1" customWidth="1"/>
    <col min="4877" max="4877" width="13.125" style="101" customWidth="1"/>
    <col min="4878" max="4878" width="13.625" style="101" customWidth="1"/>
    <col min="4879" max="4879" width="9.625" style="101" customWidth="1"/>
    <col min="4880" max="4880" width="14.875" style="101" customWidth="1"/>
    <col min="4881" max="5120" width="9.125" style="101" customWidth="1"/>
    <col min="5121" max="5121" width="5.625" style="101" customWidth="1"/>
    <col min="5122" max="5122" width="33.625" style="101" customWidth="1"/>
    <col min="5123" max="5123" width="15.625" style="101" customWidth="1"/>
    <col min="5124" max="5124" width="9.625" style="101" customWidth="1"/>
    <col min="5125" max="5125" width="11.75390625" style="101" customWidth="1"/>
    <col min="5126" max="5126" width="13.125" style="101" customWidth="1"/>
    <col min="5127" max="5127" width="9.125" style="101" customWidth="1"/>
    <col min="5128" max="5128" width="9.25390625" style="101" bestFit="1" customWidth="1"/>
    <col min="5129" max="5129" width="12.125" style="101" customWidth="1"/>
    <col min="5130" max="5130" width="12.75390625" style="101" customWidth="1"/>
    <col min="5131" max="5131" width="9.375" style="101" customWidth="1"/>
    <col min="5132" max="5132" width="9.25390625" style="101" bestFit="1" customWidth="1"/>
    <col min="5133" max="5133" width="13.125" style="101" customWidth="1"/>
    <col min="5134" max="5134" width="13.625" style="101" customWidth="1"/>
    <col min="5135" max="5135" width="9.625" style="101" customWidth="1"/>
    <col min="5136" max="5136" width="14.875" style="101" customWidth="1"/>
    <col min="5137" max="5376" width="9.125" style="101" customWidth="1"/>
    <col min="5377" max="5377" width="5.625" style="101" customWidth="1"/>
    <col min="5378" max="5378" width="33.625" style="101" customWidth="1"/>
    <col min="5379" max="5379" width="15.625" style="101" customWidth="1"/>
    <col min="5380" max="5380" width="9.625" style="101" customWidth="1"/>
    <col min="5381" max="5381" width="11.75390625" style="101" customWidth="1"/>
    <col min="5382" max="5382" width="13.125" style="101" customWidth="1"/>
    <col min="5383" max="5383" width="9.125" style="101" customWidth="1"/>
    <col min="5384" max="5384" width="9.25390625" style="101" bestFit="1" customWidth="1"/>
    <col min="5385" max="5385" width="12.125" style="101" customWidth="1"/>
    <col min="5386" max="5386" width="12.75390625" style="101" customWidth="1"/>
    <col min="5387" max="5387" width="9.375" style="101" customWidth="1"/>
    <col min="5388" max="5388" width="9.25390625" style="101" bestFit="1" customWidth="1"/>
    <col min="5389" max="5389" width="13.125" style="101" customWidth="1"/>
    <col min="5390" max="5390" width="13.625" style="101" customWidth="1"/>
    <col min="5391" max="5391" width="9.625" style="101" customWidth="1"/>
    <col min="5392" max="5392" width="14.875" style="101" customWidth="1"/>
    <col min="5393" max="5632" width="9.125" style="101" customWidth="1"/>
    <col min="5633" max="5633" width="5.625" style="101" customWidth="1"/>
    <col min="5634" max="5634" width="33.625" style="101" customWidth="1"/>
    <col min="5635" max="5635" width="15.625" style="101" customWidth="1"/>
    <col min="5636" max="5636" width="9.625" style="101" customWidth="1"/>
    <col min="5637" max="5637" width="11.75390625" style="101" customWidth="1"/>
    <col min="5638" max="5638" width="13.125" style="101" customWidth="1"/>
    <col min="5639" max="5639" width="9.125" style="101" customWidth="1"/>
    <col min="5640" max="5640" width="9.25390625" style="101" bestFit="1" customWidth="1"/>
    <col min="5641" max="5641" width="12.125" style="101" customWidth="1"/>
    <col min="5642" max="5642" width="12.75390625" style="101" customWidth="1"/>
    <col min="5643" max="5643" width="9.375" style="101" customWidth="1"/>
    <col min="5644" max="5644" width="9.25390625" style="101" bestFit="1" customWidth="1"/>
    <col min="5645" max="5645" width="13.125" style="101" customWidth="1"/>
    <col min="5646" max="5646" width="13.625" style="101" customWidth="1"/>
    <col min="5647" max="5647" width="9.625" style="101" customWidth="1"/>
    <col min="5648" max="5648" width="14.875" style="101" customWidth="1"/>
    <col min="5649" max="5888" width="9.125" style="101" customWidth="1"/>
    <col min="5889" max="5889" width="5.625" style="101" customWidth="1"/>
    <col min="5890" max="5890" width="33.625" style="101" customWidth="1"/>
    <col min="5891" max="5891" width="15.625" style="101" customWidth="1"/>
    <col min="5892" max="5892" width="9.625" style="101" customWidth="1"/>
    <col min="5893" max="5893" width="11.75390625" style="101" customWidth="1"/>
    <col min="5894" max="5894" width="13.125" style="101" customWidth="1"/>
    <col min="5895" max="5895" width="9.125" style="101" customWidth="1"/>
    <col min="5896" max="5896" width="9.25390625" style="101" bestFit="1" customWidth="1"/>
    <col min="5897" max="5897" width="12.125" style="101" customWidth="1"/>
    <col min="5898" max="5898" width="12.75390625" style="101" customWidth="1"/>
    <col min="5899" max="5899" width="9.375" style="101" customWidth="1"/>
    <col min="5900" max="5900" width="9.25390625" style="101" bestFit="1" customWidth="1"/>
    <col min="5901" max="5901" width="13.125" style="101" customWidth="1"/>
    <col min="5902" max="5902" width="13.625" style="101" customWidth="1"/>
    <col min="5903" max="5903" width="9.625" style="101" customWidth="1"/>
    <col min="5904" max="5904" width="14.875" style="101" customWidth="1"/>
    <col min="5905" max="6144" width="9.125" style="101" customWidth="1"/>
    <col min="6145" max="6145" width="5.625" style="101" customWidth="1"/>
    <col min="6146" max="6146" width="33.625" style="101" customWidth="1"/>
    <col min="6147" max="6147" width="15.625" style="101" customWidth="1"/>
    <col min="6148" max="6148" width="9.625" style="101" customWidth="1"/>
    <col min="6149" max="6149" width="11.75390625" style="101" customWidth="1"/>
    <col min="6150" max="6150" width="13.125" style="101" customWidth="1"/>
    <col min="6151" max="6151" width="9.125" style="101" customWidth="1"/>
    <col min="6152" max="6152" width="9.25390625" style="101" bestFit="1" customWidth="1"/>
    <col min="6153" max="6153" width="12.125" style="101" customWidth="1"/>
    <col min="6154" max="6154" width="12.75390625" style="101" customWidth="1"/>
    <col min="6155" max="6155" width="9.375" style="101" customWidth="1"/>
    <col min="6156" max="6156" width="9.25390625" style="101" bestFit="1" customWidth="1"/>
    <col min="6157" max="6157" width="13.125" style="101" customWidth="1"/>
    <col min="6158" max="6158" width="13.625" style="101" customWidth="1"/>
    <col min="6159" max="6159" width="9.625" style="101" customWidth="1"/>
    <col min="6160" max="6160" width="14.875" style="101" customWidth="1"/>
    <col min="6161" max="6400" width="9.125" style="101" customWidth="1"/>
    <col min="6401" max="6401" width="5.625" style="101" customWidth="1"/>
    <col min="6402" max="6402" width="33.625" style="101" customWidth="1"/>
    <col min="6403" max="6403" width="15.625" style="101" customWidth="1"/>
    <col min="6404" max="6404" width="9.625" style="101" customWidth="1"/>
    <col min="6405" max="6405" width="11.75390625" style="101" customWidth="1"/>
    <col min="6406" max="6406" width="13.125" style="101" customWidth="1"/>
    <col min="6407" max="6407" width="9.125" style="101" customWidth="1"/>
    <col min="6408" max="6408" width="9.25390625" style="101" bestFit="1" customWidth="1"/>
    <col min="6409" max="6409" width="12.125" style="101" customWidth="1"/>
    <col min="6410" max="6410" width="12.75390625" style="101" customWidth="1"/>
    <col min="6411" max="6411" width="9.375" style="101" customWidth="1"/>
    <col min="6412" max="6412" width="9.25390625" style="101" bestFit="1" customWidth="1"/>
    <col min="6413" max="6413" width="13.125" style="101" customWidth="1"/>
    <col min="6414" max="6414" width="13.625" style="101" customWidth="1"/>
    <col min="6415" max="6415" width="9.625" style="101" customWidth="1"/>
    <col min="6416" max="6416" width="14.875" style="101" customWidth="1"/>
    <col min="6417" max="6656" width="9.125" style="101" customWidth="1"/>
    <col min="6657" max="6657" width="5.625" style="101" customWidth="1"/>
    <col min="6658" max="6658" width="33.625" style="101" customWidth="1"/>
    <col min="6659" max="6659" width="15.625" style="101" customWidth="1"/>
    <col min="6660" max="6660" width="9.625" style="101" customWidth="1"/>
    <col min="6661" max="6661" width="11.75390625" style="101" customWidth="1"/>
    <col min="6662" max="6662" width="13.125" style="101" customWidth="1"/>
    <col min="6663" max="6663" width="9.125" style="101" customWidth="1"/>
    <col min="6664" max="6664" width="9.25390625" style="101" bestFit="1" customWidth="1"/>
    <col min="6665" max="6665" width="12.125" style="101" customWidth="1"/>
    <col min="6666" max="6666" width="12.75390625" style="101" customWidth="1"/>
    <col min="6667" max="6667" width="9.375" style="101" customWidth="1"/>
    <col min="6668" max="6668" width="9.25390625" style="101" bestFit="1" customWidth="1"/>
    <col min="6669" max="6669" width="13.125" style="101" customWidth="1"/>
    <col min="6670" max="6670" width="13.625" style="101" customWidth="1"/>
    <col min="6671" max="6671" width="9.625" style="101" customWidth="1"/>
    <col min="6672" max="6672" width="14.875" style="101" customWidth="1"/>
    <col min="6673" max="6912" width="9.125" style="101" customWidth="1"/>
    <col min="6913" max="6913" width="5.625" style="101" customWidth="1"/>
    <col min="6914" max="6914" width="33.625" style="101" customWidth="1"/>
    <col min="6915" max="6915" width="15.625" style="101" customWidth="1"/>
    <col min="6916" max="6916" width="9.625" style="101" customWidth="1"/>
    <col min="6917" max="6917" width="11.75390625" style="101" customWidth="1"/>
    <col min="6918" max="6918" width="13.125" style="101" customWidth="1"/>
    <col min="6919" max="6919" width="9.125" style="101" customWidth="1"/>
    <col min="6920" max="6920" width="9.25390625" style="101" bestFit="1" customWidth="1"/>
    <col min="6921" max="6921" width="12.125" style="101" customWidth="1"/>
    <col min="6922" max="6922" width="12.75390625" style="101" customWidth="1"/>
    <col min="6923" max="6923" width="9.375" style="101" customWidth="1"/>
    <col min="6924" max="6924" width="9.25390625" style="101" bestFit="1" customWidth="1"/>
    <col min="6925" max="6925" width="13.125" style="101" customWidth="1"/>
    <col min="6926" max="6926" width="13.625" style="101" customWidth="1"/>
    <col min="6927" max="6927" width="9.625" style="101" customWidth="1"/>
    <col min="6928" max="6928" width="14.875" style="101" customWidth="1"/>
    <col min="6929" max="7168" width="9.125" style="101" customWidth="1"/>
    <col min="7169" max="7169" width="5.625" style="101" customWidth="1"/>
    <col min="7170" max="7170" width="33.625" style="101" customWidth="1"/>
    <col min="7171" max="7171" width="15.625" style="101" customWidth="1"/>
    <col min="7172" max="7172" width="9.625" style="101" customWidth="1"/>
    <col min="7173" max="7173" width="11.75390625" style="101" customWidth="1"/>
    <col min="7174" max="7174" width="13.125" style="101" customWidth="1"/>
    <col min="7175" max="7175" width="9.125" style="101" customWidth="1"/>
    <col min="7176" max="7176" width="9.25390625" style="101" bestFit="1" customWidth="1"/>
    <col min="7177" max="7177" width="12.125" style="101" customWidth="1"/>
    <col min="7178" max="7178" width="12.75390625" style="101" customWidth="1"/>
    <col min="7179" max="7179" width="9.375" style="101" customWidth="1"/>
    <col min="7180" max="7180" width="9.25390625" style="101" bestFit="1" customWidth="1"/>
    <col min="7181" max="7181" width="13.125" style="101" customWidth="1"/>
    <col min="7182" max="7182" width="13.625" style="101" customWidth="1"/>
    <col min="7183" max="7183" width="9.625" style="101" customWidth="1"/>
    <col min="7184" max="7184" width="14.875" style="101" customWidth="1"/>
    <col min="7185" max="7424" width="9.125" style="101" customWidth="1"/>
    <col min="7425" max="7425" width="5.625" style="101" customWidth="1"/>
    <col min="7426" max="7426" width="33.625" style="101" customWidth="1"/>
    <col min="7427" max="7427" width="15.625" style="101" customWidth="1"/>
    <col min="7428" max="7428" width="9.625" style="101" customWidth="1"/>
    <col min="7429" max="7429" width="11.75390625" style="101" customWidth="1"/>
    <col min="7430" max="7430" width="13.125" style="101" customWidth="1"/>
    <col min="7431" max="7431" width="9.125" style="101" customWidth="1"/>
    <col min="7432" max="7432" width="9.25390625" style="101" bestFit="1" customWidth="1"/>
    <col min="7433" max="7433" width="12.125" style="101" customWidth="1"/>
    <col min="7434" max="7434" width="12.75390625" style="101" customWidth="1"/>
    <col min="7435" max="7435" width="9.375" style="101" customWidth="1"/>
    <col min="7436" max="7436" width="9.25390625" style="101" bestFit="1" customWidth="1"/>
    <col min="7437" max="7437" width="13.125" style="101" customWidth="1"/>
    <col min="7438" max="7438" width="13.625" style="101" customWidth="1"/>
    <col min="7439" max="7439" width="9.625" style="101" customWidth="1"/>
    <col min="7440" max="7440" width="14.875" style="101" customWidth="1"/>
    <col min="7441" max="7680" width="9.125" style="101" customWidth="1"/>
    <col min="7681" max="7681" width="5.625" style="101" customWidth="1"/>
    <col min="7682" max="7682" width="33.625" style="101" customWidth="1"/>
    <col min="7683" max="7683" width="15.625" style="101" customWidth="1"/>
    <col min="7684" max="7684" width="9.625" style="101" customWidth="1"/>
    <col min="7685" max="7685" width="11.75390625" style="101" customWidth="1"/>
    <col min="7686" max="7686" width="13.125" style="101" customWidth="1"/>
    <col min="7687" max="7687" width="9.125" style="101" customWidth="1"/>
    <col min="7688" max="7688" width="9.25390625" style="101" bestFit="1" customWidth="1"/>
    <col min="7689" max="7689" width="12.125" style="101" customWidth="1"/>
    <col min="7690" max="7690" width="12.75390625" style="101" customWidth="1"/>
    <col min="7691" max="7691" width="9.375" style="101" customWidth="1"/>
    <col min="7692" max="7692" width="9.25390625" style="101" bestFit="1" customWidth="1"/>
    <col min="7693" max="7693" width="13.125" style="101" customWidth="1"/>
    <col min="7694" max="7694" width="13.625" style="101" customWidth="1"/>
    <col min="7695" max="7695" width="9.625" style="101" customWidth="1"/>
    <col min="7696" max="7696" width="14.875" style="101" customWidth="1"/>
    <col min="7697" max="7936" width="9.125" style="101" customWidth="1"/>
    <col min="7937" max="7937" width="5.625" style="101" customWidth="1"/>
    <col min="7938" max="7938" width="33.625" style="101" customWidth="1"/>
    <col min="7939" max="7939" width="15.625" style="101" customWidth="1"/>
    <col min="7940" max="7940" width="9.625" style="101" customWidth="1"/>
    <col min="7941" max="7941" width="11.75390625" style="101" customWidth="1"/>
    <col min="7942" max="7942" width="13.125" style="101" customWidth="1"/>
    <col min="7943" max="7943" width="9.125" style="101" customWidth="1"/>
    <col min="7944" max="7944" width="9.25390625" style="101" bestFit="1" customWidth="1"/>
    <col min="7945" max="7945" width="12.125" style="101" customWidth="1"/>
    <col min="7946" max="7946" width="12.75390625" style="101" customWidth="1"/>
    <col min="7947" max="7947" width="9.375" style="101" customWidth="1"/>
    <col min="7948" max="7948" width="9.25390625" style="101" bestFit="1" customWidth="1"/>
    <col min="7949" max="7949" width="13.125" style="101" customWidth="1"/>
    <col min="7950" max="7950" width="13.625" style="101" customWidth="1"/>
    <col min="7951" max="7951" width="9.625" style="101" customWidth="1"/>
    <col min="7952" max="7952" width="14.875" style="101" customWidth="1"/>
    <col min="7953" max="8192" width="9.125" style="101" customWidth="1"/>
    <col min="8193" max="8193" width="5.625" style="101" customWidth="1"/>
    <col min="8194" max="8194" width="33.625" style="101" customWidth="1"/>
    <col min="8195" max="8195" width="15.625" style="101" customWidth="1"/>
    <col min="8196" max="8196" width="9.625" style="101" customWidth="1"/>
    <col min="8197" max="8197" width="11.75390625" style="101" customWidth="1"/>
    <col min="8198" max="8198" width="13.125" style="101" customWidth="1"/>
    <col min="8199" max="8199" width="9.125" style="101" customWidth="1"/>
    <col min="8200" max="8200" width="9.25390625" style="101" bestFit="1" customWidth="1"/>
    <col min="8201" max="8201" width="12.125" style="101" customWidth="1"/>
    <col min="8202" max="8202" width="12.75390625" style="101" customWidth="1"/>
    <col min="8203" max="8203" width="9.375" style="101" customWidth="1"/>
    <col min="8204" max="8204" width="9.25390625" style="101" bestFit="1" customWidth="1"/>
    <col min="8205" max="8205" width="13.125" style="101" customWidth="1"/>
    <col min="8206" max="8206" width="13.625" style="101" customWidth="1"/>
    <col min="8207" max="8207" width="9.625" style="101" customWidth="1"/>
    <col min="8208" max="8208" width="14.875" style="101" customWidth="1"/>
    <col min="8209" max="8448" width="9.125" style="101" customWidth="1"/>
    <col min="8449" max="8449" width="5.625" style="101" customWidth="1"/>
    <col min="8450" max="8450" width="33.625" style="101" customWidth="1"/>
    <col min="8451" max="8451" width="15.625" style="101" customWidth="1"/>
    <col min="8452" max="8452" width="9.625" style="101" customWidth="1"/>
    <col min="8453" max="8453" width="11.75390625" style="101" customWidth="1"/>
    <col min="8454" max="8454" width="13.125" style="101" customWidth="1"/>
    <col min="8455" max="8455" width="9.125" style="101" customWidth="1"/>
    <col min="8456" max="8456" width="9.25390625" style="101" bestFit="1" customWidth="1"/>
    <col min="8457" max="8457" width="12.125" style="101" customWidth="1"/>
    <col min="8458" max="8458" width="12.75390625" style="101" customWidth="1"/>
    <col min="8459" max="8459" width="9.375" style="101" customWidth="1"/>
    <col min="8460" max="8460" width="9.25390625" style="101" bestFit="1" customWidth="1"/>
    <col min="8461" max="8461" width="13.125" style="101" customWidth="1"/>
    <col min="8462" max="8462" width="13.625" style="101" customWidth="1"/>
    <col min="8463" max="8463" width="9.625" style="101" customWidth="1"/>
    <col min="8464" max="8464" width="14.875" style="101" customWidth="1"/>
    <col min="8465" max="8704" width="9.125" style="101" customWidth="1"/>
    <col min="8705" max="8705" width="5.625" style="101" customWidth="1"/>
    <col min="8706" max="8706" width="33.625" style="101" customWidth="1"/>
    <col min="8707" max="8707" width="15.625" style="101" customWidth="1"/>
    <col min="8708" max="8708" width="9.625" style="101" customWidth="1"/>
    <col min="8709" max="8709" width="11.75390625" style="101" customWidth="1"/>
    <col min="8710" max="8710" width="13.125" style="101" customWidth="1"/>
    <col min="8711" max="8711" width="9.125" style="101" customWidth="1"/>
    <col min="8712" max="8712" width="9.25390625" style="101" bestFit="1" customWidth="1"/>
    <col min="8713" max="8713" width="12.125" style="101" customWidth="1"/>
    <col min="8714" max="8714" width="12.75390625" style="101" customWidth="1"/>
    <col min="8715" max="8715" width="9.375" style="101" customWidth="1"/>
    <col min="8716" max="8716" width="9.25390625" style="101" bestFit="1" customWidth="1"/>
    <col min="8717" max="8717" width="13.125" style="101" customWidth="1"/>
    <col min="8718" max="8718" width="13.625" style="101" customWidth="1"/>
    <col min="8719" max="8719" width="9.625" style="101" customWidth="1"/>
    <col min="8720" max="8720" width="14.875" style="101" customWidth="1"/>
    <col min="8721" max="8960" width="9.125" style="101" customWidth="1"/>
    <col min="8961" max="8961" width="5.625" style="101" customWidth="1"/>
    <col min="8962" max="8962" width="33.625" style="101" customWidth="1"/>
    <col min="8963" max="8963" width="15.625" style="101" customWidth="1"/>
    <col min="8964" max="8964" width="9.625" style="101" customWidth="1"/>
    <col min="8965" max="8965" width="11.75390625" style="101" customWidth="1"/>
    <col min="8966" max="8966" width="13.125" style="101" customWidth="1"/>
    <col min="8967" max="8967" width="9.125" style="101" customWidth="1"/>
    <col min="8968" max="8968" width="9.25390625" style="101" bestFit="1" customWidth="1"/>
    <col min="8969" max="8969" width="12.125" style="101" customWidth="1"/>
    <col min="8970" max="8970" width="12.75390625" style="101" customWidth="1"/>
    <col min="8971" max="8971" width="9.375" style="101" customWidth="1"/>
    <col min="8972" max="8972" width="9.25390625" style="101" bestFit="1" customWidth="1"/>
    <col min="8973" max="8973" width="13.125" style="101" customWidth="1"/>
    <col min="8974" max="8974" width="13.625" style="101" customWidth="1"/>
    <col min="8975" max="8975" width="9.625" style="101" customWidth="1"/>
    <col min="8976" max="8976" width="14.875" style="101" customWidth="1"/>
    <col min="8977" max="9216" width="9.125" style="101" customWidth="1"/>
    <col min="9217" max="9217" width="5.625" style="101" customWidth="1"/>
    <col min="9218" max="9218" width="33.625" style="101" customWidth="1"/>
    <col min="9219" max="9219" width="15.625" style="101" customWidth="1"/>
    <col min="9220" max="9220" width="9.625" style="101" customWidth="1"/>
    <col min="9221" max="9221" width="11.75390625" style="101" customWidth="1"/>
    <col min="9222" max="9222" width="13.125" style="101" customWidth="1"/>
    <col min="9223" max="9223" width="9.125" style="101" customWidth="1"/>
    <col min="9224" max="9224" width="9.25390625" style="101" bestFit="1" customWidth="1"/>
    <col min="9225" max="9225" width="12.125" style="101" customWidth="1"/>
    <col min="9226" max="9226" width="12.75390625" style="101" customWidth="1"/>
    <col min="9227" max="9227" width="9.375" style="101" customWidth="1"/>
    <col min="9228" max="9228" width="9.25390625" style="101" bestFit="1" customWidth="1"/>
    <col min="9229" max="9229" width="13.125" style="101" customWidth="1"/>
    <col min="9230" max="9230" width="13.625" style="101" customWidth="1"/>
    <col min="9231" max="9231" width="9.625" style="101" customWidth="1"/>
    <col min="9232" max="9232" width="14.875" style="101" customWidth="1"/>
    <col min="9233" max="9472" width="9.125" style="101" customWidth="1"/>
    <col min="9473" max="9473" width="5.625" style="101" customWidth="1"/>
    <col min="9474" max="9474" width="33.625" style="101" customWidth="1"/>
    <col min="9475" max="9475" width="15.625" style="101" customWidth="1"/>
    <col min="9476" max="9476" width="9.625" style="101" customWidth="1"/>
    <col min="9477" max="9477" width="11.75390625" style="101" customWidth="1"/>
    <col min="9478" max="9478" width="13.125" style="101" customWidth="1"/>
    <col min="9479" max="9479" width="9.125" style="101" customWidth="1"/>
    <col min="9480" max="9480" width="9.25390625" style="101" bestFit="1" customWidth="1"/>
    <col min="9481" max="9481" width="12.125" style="101" customWidth="1"/>
    <col min="9482" max="9482" width="12.75390625" style="101" customWidth="1"/>
    <col min="9483" max="9483" width="9.375" style="101" customWidth="1"/>
    <col min="9484" max="9484" width="9.25390625" style="101" bestFit="1" customWidth="1"/>
    <col min="9485" max="9485" width="13.125" style="101" customWidth="1"/>
    <col min="9486" max="9486" width="13.625" style="101" customWidth="1"/>
    <col min="9487" max="9487" width="9.625" style="101" customWidth="1"/>
    <col min="9488" max="9488" width="14.875" style="101" customWidth="1"/>
    <col min="9489" max="9728" width="9.125" style="101" customWidth="1"/>
    <col min="9729" max="9729" width="5.625" style="101" customWidth="1"/>
    <col min="9730" max="9730" width="33.625" style="101" customWidth="1"/>
    <col min="9731" max="9731" width="15.625" style="101" customWidth="1"/>
    <col min="9732" max="9732" width="9.625" style="101" customWidth="1"/>
    <col min="9733" max="9733" width="11.75390625" style="101" customWidth="1"/>
    <col min="9734" max="9734" width="13.125" style="101" customWidth="1"/>
    <col min="9735" max="9735" width="9.125" style="101" customWidth="1"/>
    <col min="9736" max="9736" width="9.25390625" style="101" bestFit="1" customWidth="1"/>
    <col min="9737" max="9737" width="12.125" style="101" customWidth="1"/>
    <col min="9738" max="9738" width="12.75390625" style="101" customWidth="1"/>
    <col min="9739" max="9739" width="9.375" style="101" customWidth="1"/>
    <col min="9740" max="9740" width="9.25390625" style="101" bestFit="1" customWidth="1"/>
    <col min="9741" max="9741" width="13.125" style="101" customWidth="1"/>
    <col min="9742" max="9742" width="13.625" style="101" customWidth="1"/>
    <col min="9743" max="9743" width="9.625" style="101" customWidth="1"/>
    <col min="9744" max="9744" width="14.875" style="101" customWidth="1"/>
    <col min="9745" max="9984" width="9.125" style="101" customWidth="1"/>
    <col min="9985" max="9985" width="5.625" style="101" customWidth="1"/>
    <col min="9986" max="9986" width="33.625" style="101" customWidth="1"/>
    <col min="9987" max="9987" width="15.625" style="101" customWidth="1"/>
    <col min="9988" max="9988" width="9.625" style="101" customWidth="1"/>
    <col min="9989" max="9989" width="11.75390625" style="101" customWidth="1"/>
    <col min="9990" max="9990" width="13.125" style="101" customWidth="1"/>
    <col min="9991" max="9991" width="9.125" style="101" customWidth="1"/>
    <col min="9992" max="9992" width="9.25390625" style="101" bestFit="1" customWidth="1"/>
    <col min="9993" max="9993" width="12.125" style="101" customWidth="1"/>
    <col min="9994" max="9994" width="12.75390625" style="101" customWidth="1"/>
    <col min="9995" max="9995" width="9.375" style="101" customWidth="1"/>
    <col min="9996" max="9996" width="9.25390625" style="101" bestFit="1" customWidth="1"/>
    <col min="9997" max="9997" width="13.125" style="101" customWidth="1"/>
    <col min="9998" max="9998" width="13.625" style="101" customWidth="1"/>
    <col min="9999" max="9999" width="9.625" style="101" customWidth="1"/>
    <col min="10000" max="10000" width="14.875" style="101" customWidth="1"/>
    <col min="10001" max="10240" width="9.125" style="101" customWidth="1"/>
    <col min="10241" max="10241" width="5.625" style="101" customWidth="1"/>
    <col min="10242" max="10242" width="33.625" style="101" customWidth="1"/>
    <col min="10243" max="10243" width="15.625" style="101" customWidth="1"/>
    <col min="10244" max="10244" width="9.625" style="101" customWidth="1"/>
    <col min="10245" max="10245" width="11.75390625" style="101" customWidth="1"/>
    <col min="10246" max="10246" width="13.125" style="101" customWidth="1"/>
    <col min="10247" max="10247" width="9.125" style="101" customWidth="1"/>
    <col min="10248" max="10248" width="9.25390625" style="101" bestFit="1" customWidth="1"/>
    <col min="10249" max="10249" width="12.125" style="101" customWidth="1"/>
    <col min="10250" max="10250" width="12.75390625" style="101" customWidth="1"/>
    <col min="10251" max="10251" width="9.375" style="101" customWidth="1"/>
    <col min="10252" max="10252" width="9.25390625" style="101" bestFit="1" customWidth="1"/>
    <col min="10253" max="10253" width="13.125" style="101" customWidth="1"/>
    <col min="10254" max="10254" width="13.625" style="101" customWidth="1"/>
    <col min="10255" max="10255" width="9.625" style="101" customWidth="1"/>
    <col min="10256" max="10256" width="14.875" style="101" customWidth="1"/>
    <col min="10257" max="10496" width="9.125" style="101" customWidth="1"/>
    <col min="10497" max="10497" width="5.625" style="101" customWidth="1"/>
    <col min="10498" max="10498" width="33.625" style="101" customWidth="1"/>
    <col min="10499" max="10499" width="15.625" style="101" customWidth="1"/>
    <col min="10500" max="10500" width="9.625" style="101" customWidth="1"/>
    <col min="10501" max="10501" width="11.75390625" style="101" customWidth="1"/>
    <col min="10502" max="10502" width="13.125" style="101" customWidth="1"/>
    <col min="10503" max="10503" width="9.125" style="101" customWidth="1"/>
    <col min="10504" max="10504" width="9.25390625" style="101" bestFit="1" customWidth="1"/>
    <col min="10505" max="10505" width="12.125" style="101" customWidth="1"/>
    <col min="10506" max="10506" width="12.75390625" style="101" customWidth="1"/>
    <col min="10507" max="10507" width="9.375" style="101" customWidth="1"/>
    <col min="10508" max="10508" width="9.25390625" style="101" bestFit="1" customWidth="1"/>
    <col min="10509" max="10509" width="13.125" style="101" customWidth="1"/>
    <col min="10510" max="10510" width="13.625" style="101" customWidth="1"/>
    <col min="10511" max="10511" width="9.625" style="101" customWidth="1"/>
    <col min="10512" max="10512" width="14.875" style="101" customWidth="1"/>
    <col min="10513" max="10752" width="9.125" style="101" customWidth="1"/>
    <col min="10753" max="10753" width="5.625" style="101" customWidth="1"/>
    <col min="10754" max="10754" width="33.625" style="101" customWidth="1"/>
    <col min="10755" max="10755" width="15.625" style="101" customWidth="1"/>
    <col min="10756" max="10756" width="9.625" style="101" customWidth="1"/>
    <col min="10757" max="10757" width="11.75390625" style="101" customWidth="1"/>
    <col min="10758" max="10758" width="13.125" style="101" customWidth="1"/>
    <col min="10759" max="10759" width="9.125" style="101" customWidth="1"/>
    <col min="10760" max="10760" width="9.25390625" style="101" bestFit="1" customWidth="1"/>
    <col min="10761" max="10761" width="12.125" style="101" customWidth="1"/>
    <col min="10762" max="10762" width="12.75390625" style="101" customWidth="1"/>
    <col min="10763" max="10763" width="9.375" style="101" customWidth="1"/>
    <col min="10764" max="10764" width="9.25390625" style="101" bestFit="1" customWidth="1"/>
    <col min="10765" max="10765" width="13.125" style="101" customWidth="1"/>
    <col min="10766" max="10766" width="13.625" style="101" customWidth="1"/>
    <col min="10767" max="10767" width="9.625" style="101" customWidth="1"/>
    <col min="10768" max="10768" width="14.875" style="101" customWidth="1"/>
    <col min="10769" max="11008" width="9.125" style="101" customWidth="1"/>
    <col min="11009" max="11009" width="5.625" style="101" customWidth="1"/>
    <col min="11010" max="11010" width="33.625" style="101" customWidth="1"/>
    <col min="11011" max="11011" width="15.625" style="101" customWidth="1"/>
    <col min="11012" max="11012" width="9.625" style="101" customWidth="1"/>
    <col min="11013" max="11013" width="11.75390625" style="101" customWidth="1"/>
    <col min="11014" max="11014" width="13.125" style="101" customWidth="1"/>
    <col min="11015" max="11015" width="9.125" style="101" customWidth="1"/>
    <col min="11016" max="11016" width="9.25390625" style="101" bestFit="1" customWidth="1"/>
    <col min="11017" max="11017" width="12.125" style="101" customWidth="1"/>
    <col min="11018" max="11018" width="12.75390625" style="101" customWidth="1"/>
    <col min="11019" max="11019" width="9.375" style="101" customWidth="1"/>
    <col min="11020" max="11020" width="9.25390625" style="101" bestFit="1" customWidth="1"/>
    <col min="11021" max="11021" width="13.125" style="101" customWidth="1"/>
    <col min="11022" max="11022" width="13.625" style="101" customWidth="1"/>
    <col min="11023" max="11023" width="9.625" style="101" customWidth="1"/>
    <col min="11024" max="11024" width="14.875" style="101" customWidth="1"/>
    <col min="11025" max="11264" width="9.125" style="101" customWidth="1"/>
    <col min="11265" max="11265" width="5.625" style="101" customWidth="1"/>
    <col min="11266" max="11266" width="33.625" style="101" customWidth="1"/>
    <col min="11267" max="11267" width="15.625" style="101" customWidth="1"/>
    <col min="11268" max="11268" width="9.625" style="101" customWidth="1"/>
    <col min="11269" max="11269" width="11.75390625" style="101" customWidth="1"/>
    <col min="11270" max="11270" width="13.125" style="101" customWidth="1"/>
    <col min="11271" max="11271" width="9.125" style="101" customWidth="1"/>
    <col min="11272" max="11272" width="9.25390625" style="101" bestFit="1" customWidth="1"/>
    <col min="11273" max="11273" width="12.125" style="101" customWidth="1"/>
    <col min="11274" max="11274" width="12.75390625" style="101" customWidth="1"/>
    <col min="11275" max="11275" width="9.375" style="101" customWidth="1"/>
    <col min="11276" max="11276" width="9.25390625" style="101" bestFit="1" customWidth="1"/>
    <col min="11277" max="11277" width="13.125" style="101" customWidth="1"/>
    <col min="11278" max="11278" width="13.625" style="101" customWidth="1"/>
    <col min="11279" max="11279" width="9.625" style="101" customWidth="1"/>
    <col min="11280" max="11280" width="14.875" style="101" customWidth="1"/>
    <col min="11281" max="11520" width="9.125" style="101" customWidth="1"/>
    <col min="11521" max="11521" width="5.625" style="101" customWidth="1"/>
    <col min="11522" max="11522" width="33.625" style="101" customWidth="1"/>
    <col min="11523" max="11523" width="15.625" style="101" customWidth="1"/>
    <col min="11524" max="11524" width="9.625" style="101" customWidth="1"/>
    <col min="11525" max="11525" width="11.75390625" style="101" customWidth="1"/>
    <col min="11526" max="11526" width="13.125" style="101" customWidth="1"/>
    <col min="11527" max="11527" width="9.125" style="101" customWidth="1"/>
    <col min="11528" max="11528" width="9.25390625" style="101" bestFit="1" customWidth="1"/>
    <col min="11529" max="11529" width="12.125" style="101" customWidth="1"/>
    <col min="11530" max="11530" width="12.75390625" style="101" customWidth="1"/>
    <col min="11531" max="11531" width="9.375" style="101" customWidth="1"/>
    <col min="11532" max="11532" width="9.25390625" style="101" bestFit="1" customWidth="1"/>
    <col min="11533" max="11533" width="13.125" style="101" customWidth="1"/>
    <col min="11534" max="11534" width="13.625" style="101" customWidth="1"/>
    <col min="11535" max="11535" width="9.625" style="101" customWidth="1"/>
    <col min="11536" max="11536" width="14.875" style="101" customWidth="1"/>
    <col min="11537" max="11776" width="9.125" style="101" customWidth="1"/>
    <col min="11777" max="11777" width="5.625" style="101" customWidth="1"/>
    <col min="11778" max="11778" width="33.625" style="101" customWidth="1"/>
    <col min="11779" max="11779" width="15.625" style="101" customWidth="1"/>
    <col min="11780" max="11780" width="9.625" style="101" customWidth="1"/>
    <col min="11781" max="11781" width="11.75390625" style="101" customWidth="1"/>
    <col min="11782" max="11782" width="13.125" style="101" customWidth="1"/>
    <col min="11783" max="11783" width="9.125" style="101" customWidth="1"/>
    <col min="11784" max="11784" width="9.25390625" style="101" bestFit="1" customWidth="1"/>
    <col min="11785" max="11785" width="12.125" style="101" customWidth="1"/>
    <col min="11786" max="11786" width="12.75390625" style="101" customWidth="1"/>
    <col min="11787" max="11787" width="9.375" style="101" customWidth="1"/>
    <col min="11788" max="11788" width="9.25390625" style="101" bestFit="1" customWidth="1"/>
    <col min="11789" max="11789" width="13.125" style="101" customWidth="1"/>
    <col min="11790" max="11790" width="13.625" style="101" customWidth="1"/>
    <col min="11791" max="11791" width="9.625" style="101" customWidth="1"/>
    <col min="11792" max="11792" width="14.875" style="101" customWidth="1"/>
    <col min="11793" max="12032" width="9.125" style="101" customWidth="1"/>
    <col min="12033" max="12033" width="5.625" style="101" customWidth="1"/>
    <col min="12034" max="12034" width="33.625" style="101" customWidth="1"/>
    <col min="12035" max="12035" width="15.625" style="101" customWidth="1"/>
    <col min="12036" max="12036" width="9.625" style="101" customWidth="1"/>
    <col min="12037" max="12037" width="11.75390625" style="101" customWidth="1"/>
    <col min="12038" max="12038" width="13.125" style="101" customWidth="1"/>
    <col min="12039" max="12039" width="9.125" style="101" customWidth="1"/>
    <col min="12040" max="12040" width="9.25390625" style="101" bestFit="1" customWidth="1"/>
    <col min="12041" max="12041" width="12.125" style="101" customWidth="1"/>
    <col min="12042" max="12042" width="12.75390625" style="101" customWidth="1"/>
    <col min="12043" max="12043" width="9.375" style="101" customWidth="1"/>
    <col min="12044" max="12044" width="9.25390625" style="101" bestFit="1" customWidth="1"/>
    <col min="12045" max="12045" width="13.125" style="101" customWidth="1"/>
    <col min="12046" max="12046" width="13.625" style="101" customWidth="1"/>
    <col min="12047" max="12047" width="9.625" style="101" customWidth="1"/>
    <col min="12048" max="12048" width="14.875" style="101" customWidth="1"/>
    <col min="12049" max="12288" width="9.125" style="101" customWidth="1"/>
    <col min="12289" max="12289" width="5.625" style="101" customWidth="1"/>
    <col min="12290" max="12290" width="33.625" style="101" customWidth="1"/>
    <col min="12291" max="12291" width="15.625" style="101" customWidth="1"/>
    <col min="12292" max="12292" width="9.625" style="101" customWidth="1"/>
    <col min="12293" max="12293" width="11.75390625" style="101" customWidth="1"/>
    <col min="12294" max="12294" width="13.125" style="101" customWidth="1"/>
    <col min="12295" max="12295" width="9.125" style="101" customWidth="1"/>
    <col min="12296" max="12296" width="9.25390625" style="101" bestFit="1" customWidth="1"/>
    <col min="12297" max="12297" width="12.125" style="101" customWidth="1"/>
    <col min="12298" max="12298" width="12.75390625" style="101" customWidth="1"/>
    <col min="12299" max="12299" width="9.375" style="101" customWidth="1"/>
    <col min="12300" max="12300" width="9.25390625" style="101" bestFit="1" customWidth="1"/>
    <col min="12301" max="12301" width="13.125" style="101" customWidth="1"/>
    <col min="12302" max="12302" width="13.625" style="101" customWidth="1"/>
    <col min="12303" max="12303" width="9.625" style="101" customWidth="1"/>
    <col min="12304" max="12304" width="14.875" style="101" customWidth="1"/>
    <col min="12305" max="12544" width="9.125" style="101" customWidth="1"/>
    <col min="12545" max="12545" width="5.625" style="101" customWidth="1"/>
    <col min="12546" max="12546" width="33.625" style="101" customWidth="1"/>
    <col min="12547" max="12547" width="15.625" style="101" customWidth="1"/>
    <col min="12548" max="12548" width="9.625" style="101" customWidth="1"/>
    <col min="12549" max="12549" width="11.75390625" style="101" customWidth="1"/>
    <col min="12550" max="12550" width="13.125" style="101" customWidth="1"/>
    <col min="12551" max="12551" width="9.125" style="101" customWidth="1"/>
    <col min="12552" max="12552" width="9.25390625" style="101" bestFit="1" customWidth="1"/>
    <col min="12553" max="12553" width="12.125" style="101" customWidth="1"/>
    <col min="12554" max="12554" width="12.75390625" style="101" customWidth="1"/>
    <col min="12555" max="12555" width="9.375" style="101" customWidth="1"/>
    <col min="12556" max="12556" width="9.25390625" style="101" bestFit="1" customWidth="1"/>
    <col min="12557" max="12557" width="13.125" style="101" customWidth="1"/>
    <col min="12558" max="12558" width="13.625" style="101" customWidth="1"/>
    <col min="12559" max="12559" width="9.625" style="101" customWidth="1"/>
    <col min="12560" max="12560" width="14.875" style="101" customWidth="1"/>
    <col min="12561" max="12800" width="9.125" style="101" customWidth="1"/>
    <col min="12801" max="12801" width="5.625" style="101" customWidth="1"/>
    <col min="12802" max="12802" width="33.625" style="101" customWidth="1"/>
    <col min="12803" max="12803" width="15.625" style="101" customWidth="1"/>
    <col min="12804" max="12804" width="9.625" style="101" customWidth="1"/>
    <col min="12805" max="12805" width="11.75390625" style="101" customWidth="1"/>
    <col min="12806" max="12806" width="13.125" style="101" customWidth="1"/>
    <col min="12807" max="12807" width="9.125" style="101" customWidth="1"/>
    <col min="12808" max="12808" width="9.25390625" style="101" bestFit="1" customWidth="1"/>
    <col min="12809" max="12809" width="12.125" style="101" customWidth="1"/>
    <col min="12810" max="12810" width="12.75390625" style="101" customWidth="1"/>
    <col min="12811" max="12811" width="9.375" style="101" customWidth="1"/>
    <col min="12812" max="12812" width="9.25390625" style="101" bestFit="1" customWidth="1"/>
    <col min="12813" max="12813" width="13.125" style="101" customWidth="1"/>
    <col min="12814" max="12814" width="13.625" style="101" customWidth="1"/>
    <col min="12815" max="12815" width="9.625" style="101" customWidth="1"/>
    <col min="12816" max="12816" width="14.875" style="101" customWidth="1"/>
    <col min="12817" max="13056" width="9.125" style="101" customWidth="1"/>
    <col min="13057" max="13057" width="5.625" style="101" customWidth="1"/>
    <col min="13058" max="13058" width="33.625" style="101" customWidth="1"/>
    <col min="13059" max="13059" width="15.625" style="101" customWidth="1"/>
    <col min="13060" max="13060" width="9.625" style="101" customWidth="1"/>
    <col min="13061" max="13061" width="11.75390625" style="101" customWidth="1"/>
    <col min="13062" max="13062" width="13.125" style="101" customWidth="1"/>
    <col min="13063" max="13063" width="9.125" style="101" customWidth="1"/>
    <col min="13064" max="13064" width="9.25390625" style="101" bestFit="1" customWidth="1"/>
    <col min="13065" max="13065" width="12.125" style="101" customWidth="1"/>
    <col min="13066" max="13066" width="12.75390625" style="101" customWidth="1"/>
    <col min="13067" max="13067" width="9.375" style="101" customWidth="1"/>
    <col min="13068" max="13068" width="9.25390625" style="101" bestFit="1" customWidth="1"/>
    <col min="13069" max="13069" width="13.125" style="101" customWidth="1"/>
    <col min="13070" max="13070" width="13.625" style="101" customWidth="1"/>
    <col min="13071" max="13071" width="9.625" style="101" customWidth="1"/>
    <col min="13072" max="13072" width="14.875" style="101" customWidth="1"/>
    <col min="13073" max="13312" width="9.125" style="101" customWidth="1"/>
    <col min="13313" max="13313" width="5.625" style="101" customWidth="1"/>
    <col min="13314" max="13314" width="33.625" style="101" customWidth="1"/>
    <col min="13315" max="13315" width="15.625" style="101" customWidth="1"/>
    <col min="13316" max="13316" width="9.625" style="101" customWidth="1"/>
    <col min="13317" max="13317" width="11.75390625" style="101" customWidth="1"/>
    <col min="13318" max="13318" width="13.125" style="101" customWidth="1"/>
    <col min="13319" max="13319" width="9.125" style="101" customWidth="1"/>
    <col min="13320" max="13320" width="9.25390625" style="101" bestFit="1" customWidth="1"/>
    <col min="13321" max="13321" width="12.125" style="101" customWidth="1"/>
    <col min="13322" max="13322" width="12.75390625" style="101" customWidth="1"/>
    <col min="13323" max="13323" width="9.375" style="101" customWidth="1"/>
    <col min="13324" max="13324" width="9.25390625" style="101" bestFit="1" customWidth="1"/>
    <col min="13325" max="13325" width="13.125" style="101" customWidth="1"/>
    <col min="13326" max="13326" width="13.625" style="101" customWidth="1"/>
    <col min="13327" max="13327" width="9.625" style="101" customWidth="1"/>
    <col min="13328" max="13328" width="14.875" style="101" customWidth="1"/>
    <col min="13329" max="13568" width="9.125" style="101" customWidth="1"/>
    <col min="13569" max="13569" width="5.625" style="101" customWidth="1"/>
    <col min="13570" max="13570" width="33.625" style="101" customWidth="1"/>
    <col min="13571" max="13571" width="15.625" style="101" customWidth="1"/>
    <col min="13572" max="13572" width="9.625" style="101" customWidth="1"/>
    <col min="13573" max="13573" width="11.75390625" style="101" customWidth="1"/>
    <col min="13574" max="13574" width="13.125" style="101" customWidth="1"/>
    <col min="13575" max="13575" width="9.125" style="101" customWidth="1"/>
    <col min="13576" max="13576" width="9.25390625" style="101" bestFit="1" customWidth="1"/>
    <col min="13577" max="13577" width="12.125" style="101" customWidth="1"/>
    <col min="13578" max="13578" width="12.75390625" style="101" customWidth="1"/>
    <col min="13579" max="13579" width="9.375" style="101" customWidth="1"/>
    <col min="13580" max="13580" width="9.25390625" style="101" bestFit="1" customWidth="1"/>
    <col min="13581" max="13581" width="13.125" style="101" customWidth="1"/>
    <col min="13582" max="13582" width="13.625" style="101" customWidth="1"/>
    <col min="13583" max="13583" width="9.625" style="101" customWidth="1"/>
    <col min="13584" max="13584" width="14.875" style="101" customWidth="1"/>
    <col min="13585" max="13824" width="9.125" style="101" customWidth="1"/>
    <col min="13825" max="13825" width="5.625" style="101" customWidth="1"/>
    <col min="13826" max="13826" width="33.625" style="101" customWidth="1"/>
    <col min="13827" max="13827" width="15.625" style="101" customWidth="1"/>
    <col min="13828" max="13828" width="9.625" style="101" customWidth="1"/>
    <col min="13829" max="13829" width="11.75390625" style="101" customWidth="1"/>
    <col min="13830" max="13830" width="13.125" style="101" customWidth="1"/>
    <col min="13831" max="13831" width="9.125" style="101" customWidth="1"/>
    <col min="13832" max="13832" width="9.25390625" style="101" bestFit="1" customWidth="1"/>
    <col min="13833" max="13833" width="12.125" style="101" customWidth="1"/>
    <col min="13834" max="13834" width="12.75390625" style="101" customWidth="1"/>
    <col min="13835" max="13835" width="9.375" style="101" customWidth="1"/>
    <col min="13836" max="13836" width="9.25390625" style="101" bestFit="1" customWidth="1"/>
    <col min="13837" max="13837" width="13.125" style="101" customWidth="1"/>
    <col min="13838" max="13838" width="13.625" style="101" customWidth="1"/>
    <col min="13839" max="13839" width="9.625" style="101" customWidth="1"/>
    <col min="13840" max="13840" width="14.875" style="101" customWidth="1"/>
    <col min="13841" max="14080" width="9.125" style="101" customWidth="1"/>
    <col min="14081" max="14081" width="5.625" style="101" customWidth="1"/>
    <col min="14082" max="14082" width="33.625" style="101" customWidth="1"/>
    <col min="14083" max="14083" width="15.625" style="101" customWidth="1"/>
    <col min="14084" max="14084" width="9.625" style="101" customWidth="1"/>
    <col min="14085" max="14085" width="11.75390625" style="101" customWidth="1"/>
    <col min="14086" max="14086" width="13.125" style="101" customWidth="1"/>
    <col min="14087" max="14087" width="9.125" style="101" customWidth="1"/>
    <col min="14088" max="14088" width="9.25390625" style="101" bestFit="1" customWidth="1"/>
    <col min="14089" max="14089" width="12.125" style="101" customWidth="1"/>
    <col min="14090" max="14090" width="12.75390625" style="101" customWidth="1"/>
    <col min="14091" max="14091" width="9.375" style="101" customWidth="1"/>
    <col min="14092" max="14092" width="9.25390625" style="101" bestFit="1" customWidth="1"/>
    <col min="14093" max="14093" width="13.125" style="101" customWidth="1"/>
    <col min="14094" max="14094" width="13.625" style="101" customWidth="1"/>
    <col min="14095" max="14095" width="9.625" style="101" customWidth="1"/>
    <col min="14096" max="14096" width="14.875" style="101" customWidth="1"/>
    <col min="14097" max="14336" width="9.125" style="101" customWidth="1"/>
    <col min="14337" max="14337" width="5.625" style="101" customWidth="1"/>
    <col min="14338" max="14338" width="33.625" style="101" customWidth="1"/>
    <col min="14339" max="14339" width="15.625" style="101" customWidth="1"/>
    <col min="14340" max="14340" width="9.625" style="101" customWidth="1"/>
    <col min="14341" max="14341" width="11.75390625" style="101" customWidth="1"/>
    <col min="14342" max="14342" width="13.125" style="101" customWidth="1"/>
    <col min="14343" max="14343" width="9.125" style="101" customWidth="1"/>
    <col min="14344" max="14344" width="9.25390625" style="101" bestFit="1" customWidth="1"/>
    <col min="14345" max="14345" width="12.125" style="101" customWidth="1"/>
    <col min="14346" max="14346" width="12.75390625" style="101" customWidth="1"/>
    <col min="14347" max="14347" width="9.375" style="101" customWidth="1"/>
    <col min="14348" max="14348" width="9.25390625" style="101" bestFit="1" customWidth="1"/>
    <col min="14349" max="14349" width="13.125" style="101" customWidth="1"/>
    <col min="14350" max="14350" width="13.625" style="101" customWidth="1"/>
    <col min="14351" max="14351" width="9.625" style="101" customWidth="1"/>
    <col min="14352" max="14352" width="14.875" style="101" customWidth="1"/>
    <col min="14353" max="14592" width="9.125" style="101" customWidth="1"/>
    <col min="14593" max="14593" width="5.625" style="101" customWidth="1"/>
    <col min="14594" max="14594" width="33.625" style="101" customWidth="1"/>
    <col min="14595" max="14595" width="15.625" style="101" customWidth="1"/>
    <col min="14596" max="14596" width="9.625" style="101" customWidth="1"/>
    <col min="14597" max="14597" width="11.75390625" style="101" customWidth="1"/>
    <col min="14598" max="14598" width="13.125" style="101" customWidth="1"/>
    <col min="14599" max="14599" width="9.125" style="101" customWidth="1"/>
    <col min="14600" max="14600" width="9.25390625" style="101" bestFit="1" customWidth="1"/>
    <col min="14601" max="14601" width="12.125" style="101" customWidth="1"/>
    <col min="14602" max="14602" width="12.75390625" style="101" customWidth="1"/>
    <col min="14603" max="14603" width="9.375" style="101" customWidth="1"/>
    <col min="14604" max="14604" width="9.25390625" style="101" bestFit="1" customWidth="1"/>
    <col min="14605" max="14605" width="13.125" style="101" customWidth="1"/>
    <col min="14606" max="14606" width="13.625" style="101" customWidth="1"/>
    <col min="14607" max="14607" width="9.625" style="101" customWidth="1"/>
    <col min="14608" max="14608" width="14.875" style="101" customWidth="1"/>
    <col min="14609" max="14848" width="9.125" style="101" customWidth="1"/>
    <col min="14849" max="14849" width="5.625" style="101" customWidth="1"/>
    <col min="14850" max="14850" width="33.625" style="101" customWidth="1"/>
    <col min="14851" max="14851" width="15.625" style="101" customWidth="1"/>
    <col min="14852" max="14852" width="9.625" style="101" customWidth="1"/>
    <col min="14853" max="14853" width="11.75390625" style="101" customWidth="1"/>
    <col min="14854" max="14854" width="13.125" style="101" customWidth="1"/>
    <col min="14855" max="14855" width="9.125" style="101" customWidth="1"/>
    <col min="14856" max="14856" width="9.25390625" style="101" bestFit="1" customWidth="1"/>
    <col min="14857" max="14857" width="12.125" style="101" customWidth="1"/>
    <col min="14858" max="14858" width="12.75390625" style="101" customWidth="1"/>
    <col min="14859" max="14859" width="9.375" style="101" customWidth="1"/>
    <col min="14860" max="14860" width="9.25390625" style="101" bestFit="1" customWidth="1"/>
    <col min="14861" max="14861" width="13.125" style="101" customWidth="1"/>
    <col min="14862" max="14862" width="13.625" style="101" customWidth="1"/>
    <col min="14863" max="14863" width="9.625" style="101" customWidth="1"/>
    <col min="14864" max="14864" width="14.875" style="101" customWidth="1"/>
    <col min="14865" max="15104" width="9.125" style="101" customWidth="1"/>
    <col min="15105" max="15105" width="5.625" style="101" customWidth="1"/>
    <col min="15106" max="15106" width="33.625" style="101" customWidth="1"/>
    <col min="15107" max="15107" width="15.625" style="101" customWidth="1"/>
    <col min="15108" max="15108" width="9.625" style="101" customWidth="1"/>
    <col min="15109" max="15109" width="11.75390625" style="101" customWidth="1"/>
    <col min="15110" max="15110" width="13.125" style="101" customWidth="1"/>
    <col min="15111" max="15111" width="9.125" style="101" customWidth="1"/>
    <col min="15112" max="15112" width="9.25390625" style="101" bestFit="1" customWidth="1"/>
    <col min="15113" max="15113" width="12.125" style="101" customWidth="1"/>
    <col min="15114" max="15114" width="12.75390625" style="101" customWidth="1"/>
    <col min="15115" max="15115" width="9.375" style="101" customWidth="1"/>
    <col min="15116" max="15116" width="9.25390625" style="101" bestFit="1" customWidth="1"/>
    <col min="15117" max="15117" width="13.125" style="101" customWidth="1"/>
    <col min="15118" max="15118" width="13.625" style="101" customWidth="1"/>
    <col min="15119" max="15119" width="9.625" style="101" customWidth="1"/>
    <col min="15120" max="15120" width="14.875" style="101" customWidth="1"/>
    <col min="15121" max="15360" width="9.125" style="101" customWidth="1"/>
    <col min="15361" max="15361" width="5.625" style="101" customWidth="1"/>
    <col min="15362" max="15362" width="33.625" style="101" customWidth="1"/>
    <col min="15363" max="15363" width="15.625" style="101" customWidth="1"/>
    <col min="15364" max="15364" width="9.625" style="101" customWidth="1"/>
    <col min="15365" max="15365" width="11.75390625" style="101" customWidth="1"/>
    <col min="15366" max="15366" width="13.125" style="101" customWidth="1"/>
    <col min="15367" max="15367" width="9.125" style="101" customWidth="1"/>
    <col min="15368" max="15368" width="9.25390625" style="101" bestFit="1" customWidth="1"/>
    <col min="15369" max="15369" width="12.125" style="101" customWidth="1"/>
    <col min="15370" max="15370" width="12.75390625" style="101" customWidth="1"/>
    <col min="15371" max="15371" width="9.375" style="101" customWidth="1"/>
    <col min="15372" max="15372" width="9.25390625" style="101" bestFit="1" customWidth="1"/>
    <col min="15373" max="15373" width="13.125" style="101" customWidth="1"/>
    <col min="15374" max="15374" width="13.625" style="101" customWidth="1"/>
    <col min="15375" max="15375" width="9.625" style="101" customWidth="1"/>
    <col min="15376" max="15376" width="14.875" style="101" customWidth="1"/>
    <col min="15377" max="15616" width="9.125" style="101" customWidth="1"/>
    <col min="15617" max="15617" width="5.625" style="101" customWidth="1"/>
    <col min="15618" max="15618" width="33.625" style="101" customWidth="1"/>
    <col min="15619" max="15619" width="15.625" style="101" customWidth="1"/>
    <col min="15620" max="15620" width="9.625" style="101" customWidth="1"/>
    <col min="15621" max="15621" width="11.75390625" style="101" customWidth="1"/>
    <col min="15622" max="15622" width="13.125" style="101" customWidth="1"/>
    <col min="15623" max="15623" width="9.125" style="101" customWidth="1"/>
    <col min="15624" max="15624" width="9.25390625" style="101" bestFit="1" customWidth="1"/>
    <col min="15625" max="15625" width="12.125" style="101" customWidth="1"/>
    <col min="15626" max="15626" width="12.75390625" style="101" customWidth="1"/>
    <col min="15627" max="15627" width="9.375" style="101" customWidth="1"/>
    <col min="15628" max="15628" width="9.25390625" style="101" bestFit="1" customWidth="1"/>
    <col min="15629" max="15629" width="13.125" style="101" customWidth="1"/>
    <col min="15630" max="15630" width="13.625" style="101" customWidth="1"/>
    <col min="15631" max="15631" width="9.625" style="101" customWidth="1"/>
    <col min="15632" max="15632" width="14.875" style="101" customWidth="1"/>
    <col min="15633" max="15872" width="9.125" style="101" customWidth="1"/>
    <col min="15873" max="15873" width="5.625" style="101" customWidth="1"/>
    <col min="15874" max="15874" width="33.625" style="101" customWidth="1"/>
    <col min="15875" max="15875" width="15.625" style="101" customWidth="1"/>
    <col min="15876" max="15876" width="9.625" style="101" customWidth="1"/>
    <col min="15877" max="15877" width="11.75390625" style="101" customWidth="1"/>
    <col min="15878" max="15878" width="13.125" style="101" customWidth="1"/>
    <col min="15879" max="15879" width="9.125" style="101" customWidth="1"/>
    <col min="15880" max="15880" width="9.25390625" style="101" bestFit="1" customWidth="1"/>
    <col min="15881" max="15881" width="12.125" style="101" customWidth="1"/>
    <col min="15882" max="15882" width="12.75390625" style="101" customWidth="1"/>
    <col min="15883" max="15883" width="9.375" style="101" customWidth="1"/>
    <col min="15884" max="15884" width="9.25390625" style="101" bestFit="1" customWidth="1"/>
    <col min="15885" max="15885" width="13.125" style="101" customWidth="1"/>
    <col min="15886" max="15886" width="13.625" style="101" customWidth="1"/>
    <col min="15887" max="15887" width="9.625" style="101" customWidth="1"/>
    <col min="15888" max="15888" width="14.875" style="101" customWidth="1"/>
    <col min="15889" max="16128" width="9.125" style="101" customWidth="1"/>
    <col min="16129" max="16129" width="5.625" style="101" customWidth="1"/>
    <col min="16130" max="16130" width="33.625" style="101" customWidth="1"/>
    <col min="16131" max="16131" width="15.625" style="101" customWidth="1"/>
    <col min="16132" max="16132" width="9.625" style="101" customWidth="1"/>
    <col min="16133" max="16133" width="11.75390625" style="101" customWidth="1"/>
    <col min="16134" max="16134" width="13.125" style="101" customWidth="1"/>
    <col min="16135" max="16135" width="9.125" style="101" customWidth="1"/>
    <col min="16136" max="16136" width="9.25390625" style="101" bestFit="1" customWidth="1"/>
    <col min="16137" max="16137" width="12.125" style="101" customWidth="1"/>
    <col min="16138" max="16138" width="12.75390625" style="101" customWidth="1"/>
    <col min="16139" max="16139" width="9.375" style="101" customWidth="1"/>
    <col min="16140" max="16140" width="9.25390625" style="101" bestFit="1" customWidth="1"/>
    <col min="16141" max="16141" width="13.125" style="101" customWidth="1"/>
    <col min="16142" max="16142" width="13.625" style="101" customWidth="1"/>
    <col min="16143" max="16143" width="9.625" style="101" customWidth="1"/>
    <col min="16144" max="16144" width="14.875" style="101" customWidth="1"/>
    <col min="16145" max="16384" width="9.125" style="101" customWidth="1"/>
  </cols>
  <sheetData>
    <row r="1" spans="13:16" ht="12.75">
      <c r="M1" s="215" t="s">
        <v>991</v>
      </c>
      <c r="N1" s="215"/>
      <c r="O1" s="215"/>
      <c r="P1" s="215"/>
    </row>
    <row r="2" spans="13:16" ht="12.75">
      <c r="M2" s="215" t="s">
        <v>681</v>
      </c>
      <c r="N2" s="215"/>
      <c r="O2" s="215"/>
      <c r="P2" s="215"/>
    </row>
    <row r="3" spans="13:16" ht="12.75">
      <c r="M3" s="215" t="s">
        <v>1002</v>
      </c>
      <c r="N3" s="215"/>
      <c r="O3" s="215"/>
      <c r="P3" s="215"/>
    </row>
    <row r="5" spans="8:16" ht="18.75">
      <c r="H5" s="104" t="s">
        <v>688</v>
      </c>
      <c r="P5" s="105"/>
    </row>
    <row r="6" spans="1:16" ht="18.75">
      <c r="A6" s="224" t="s">
        <v>317</v>
      </c>
      <c r="B6" s="224"/>
      <c r="C6" s="224"/>
      <c r="D6" s="224"/>
      <c r="E6" s="224"/>
      <c r="F6" s="224"/>
      <c r="G6" s="224"/>
      <c r="H6" s="224"/>
      <c r="I6" s="224"/>
      <c r="J6" s="224"/>
      <c r="K6" s="224"/>
      <c r="L6" s="224"/>
      <c r="M6" s="224"/>
      <c r="N6" s="224"/>
      <c r="O6" s="224"/>
      <c r="P6" s="224"/>
    </row>
    <row r="8" spans="1:16" ht="12.75">
      <c r="A8" s="225" t="s">
        <v>689</v>
      </c>
      <c r="B8" s="225" t="s">
        <v>690</v>
      </c>
      <c r="C8" s="223" t="s">
        <v>691</v>
      </c>
      <c r="D8" s="223" t="s">
        <v>692</v>
      </c>
      <c r="E8" s="223"/>
      <c r="F8" s="223"/>
      <c r="G8" s="223"/>
      <c r="H8" s="223"/>
      <c r="I8" s="223"/>
      <c r="J8" s="223"/>
      <c r="K8" s="223"/>
      <c r="L8" s="223"/>
      <c r="M8" s="223"/>
      <c r="N8" s="223"/>
      <c r="O8" s="223"/>
      <c r="P8" s="223" t="s">
        <v>693</v>
      </c>
    </row>
    <row r="9" spans="1:16" ht="17.25" customHeight="1">
      <c r="A9" s="225"/>
      <c r="B9" s="225"/>
      <c r="C9" s="223"/>
      <c r="D9" s="223" t="s">
        <v>318</v>
      </c>
      <c r="E9" s="223"/>
      <c r="F9" s="223"/>
      <c r="G9" s="223"/>
      <c r="H9" s="223" t="s">
        <v>319</v>
      </c>
      <c r="I9" s="223"/>
      <c r="J9" s="223"/>
      <c r="K9" s="223"/>
      <c r="L9" s="223" t="s">
        <v>320</v>
      </c>
      <c r="M9" s="223"/>
      <c r="N9" s="223"/>
      <c r="O9" s="223"/>
      <c r="P9" s="223"/>
    </row>
    <row r="10" spans="1:16" ht="75">
      <c r="A10" s="225"/>
      <c r="B10" s="225"/>
      <c r="C10" s="223"/>
      <c r="D10" s="106" t="s">
        <v>694</v>
      </c>
      <c r="E10" s="106" t="s">
        <v>695</v>
      </c>
      <c r="F10" s="106" t="s">
        <v>696</v>
      </c>
      <c r="G10" s="107" t="s">
        <v>697</v>
      </c>
      <c r="H10" s="106" t="s">
        <v>694</v>
      </c>
      <c r="I10" s="106" t="s">
        <v>695</v>
      </c>
      <c r="J10" s="106" t="s">
        <v>696</v>
      </c>
      <c r="K10" s="107" t="s">
        <v>697</v>
      </c>
      <c r="L10" s="106" t="s">
        <v>694</v>
      </c>
      <c r="M10" s="106" t="s">
        <v>695</v>
      </c>
      <c r="N10" s="106" t="s">
        <v>696</v>
      </c>
      <c r="O10" s="107" t="s">
        <v>697</v>
      </c>
      <c r="P10" s="223"/>
    </row>
    <row r="11" spans="1:16" ht="15.75" customHeight="1">
      <c r="A11" s="108">
        <v>1</v>
      </c>
      <c r="B11" s="108" t="s">
        <v>50</v>
      </c>
      <c r="C11" s="106" t="s">
        <v>698</v>
      </c>
      <c r="D11" s="109">
        <f aca="true" t="shared" si="0" ref="D11:N12">D12</f>
        <v>198</v>
      </c>
      <c r="E11" s="109">
        <f t="shared" si="0"/>
        <v>0</v>
      </c>
      <c r="F11" s="109">
        <f t="shared" si="0"/>
        <v>0</v>
      </c>
      <c r="G11" s="109">
        <f aca="true" t="shared" si="1" ref="G11:G17">D11+E11+F11</f>
        <v>198</v>
      </c>
      <c r="H11" s="109">
        <f t="shared" si="0"/>
        <v>9000</v>
      </c>
      <c r="I11" s="109">
        <f t="shared" si="0"/>
        <v>0</v>
      </c>
      <c r="J11" s="109">
        <f t="shared" si="0"/>
        <v>0</v>
      </c>
      <c r="K11" s="109">
        <f t="shared" si="0"/>
        <v>9000</v>
      </c>
      <c r="L11" s="109">
        <f t="shared" si="0"/>
        <v>0</v>
      </c>
      <c r="M11" s="109">
        <f t="shared" si="0"/>
        <v>0</v>
      </c>
      <c r="N11" s="109">
        <f t="shared" si="0"/>
        <v>0</v>
      </c>
      <c r="O11" s="109">
        <f>L11+M11+N11</f>
        <v>0</v>
      </c>
      <c r="P11" s="110" t="s">
        <v>84</v>
      </c>
    </row>
    <row r="12" spans="1:16" ht="12.75">
      <c r="A12" s="108" t="s">
        <v>699</v>
      </c>
      <c r="B12" s="108" t="s">
        <v>51</v>
      </c>
      <c r="C12" s="106" t="s">
        <v>698</v>
      </c>
      <c r="D12" s="111">
        <f>D13+D14</f>
        <v>198</v>
      </c>
      <c r="E12" s="111">
        <f t="shared" si="0"/>
        <v>0</v>
      </c>
      <c r="F12" s="111">
        <f t="shared" si="0"/>
        <v>0</v>
      </c>
      <c r="G12" s="109">
        <f t="shared" si="1"/>
        <v>198</v>
      </c>
      <c r="H12" s="111">
        <f>H13+H14</f>
        <v>9000</v>
      </c>
      <c r="I12" s="111">
        <f t="shared" si="0"/>
        <v>0</v>
      </c>
      <c r="J12" s="111">
        <f t="shared" si="0"/>
        <v>0</v>
      </c>
      <c r="K12" s="111">
        <f>K13+K14</f>
        <v>9000</v>
      </c>
      <c r="L12" s="111">
        <f t="shared" si="0"/>
        <v>0</v>
      </c>
      <c r="M12" s="111">
        <f t="shared" si="0"/>
        <v>0</v>
      </c>
      <c r="N12" s="109">
        <f>N13</f>
        <v>0</v>
      </c>
      <c r="O12" s="109">
        <f>O13</f>
        <v>0</v>
      </c>
      <c r="P12" s="110" t="s">
        <v>75</v>
      </c>
    </row>
    <row r="13" spans="1:16" ht="63" customHeight="1">
      <c r="A13" s="112" t="s">
        <v>700</v>
      </c>
      <c r="B13" s="112" t="s">
        <v>701</v>
      </c>
      <c r="C13" s="113" t="s">
        <v>702</v>
      </c>
      <c r="D13" s="114">
        <f>'№4'!F158</f>
        <v>0</v>
      </c>
      <c r="E13" s="114">
        <v>0</v>
      </c>
      <c r="F13" s="114">
        <v>0</v>
      </c>
      <c r="G13" s="115">
        <f t="shared" si="1"/>
        <v>0</v>
      </c>
      <c r="H13" s="114">
        <v>9000</v>
      </c>
      <c r="I13" s="114">
        <v>0</v>
      </c>
      <c r="J13" s="114">
        <v>0</v>
      </c>
      <c r="K13" s="115">
        <f>H13+I13+J13</f>
        <v>9000</v>
      </c>
      <c r="L13" s="114">
        <v>0</v>
      </c>
      <c r="M13" s="114">
        <v>0</v>
      </c>
      <c r="N13" s="114">
        <v>0</v>
      </c>
      <c r="O13" s="115">
        <f>L13+M13+N13</f>
        <v>0</v>
      </c>
      <c r="P13" s="116" t="s">
        <v>75</v>
      </c>
    </row>
    <row r="14" spans="1:16" ht="64.15" customHeight="1">
      <c r="A14" s="112" t="s">
        <v>703</v>
      </c>
      <c r="B14" s="112" t="s">
        <v>704</v>
      </c>
      <c r="C14" s="113" t="s">
        <v>702</v>
      </c>
      <c r="D14" s="114">
        <f>'№4'!F160</f>
        <v>198</v>
      </c>
      <c r="E14" s="114">
        <v>0</v>
      </c>
      <c r="F14" s="114">
        <v>0</v>
      </c>
      <c r="G14" s="115">
        <f t="shared" si="1"/>
        <v>198</v>
      </c>
      <c r="H14" s="114">
        <v>0</v>
      </c>
      <c r="I14" s="114">
        <v>0</v>
      </c>
      <c r="J14" s="114">
        <v>0</v>
      </c>
      <c r="K14" s="115">
        <f>H14+I14+J14</f>
        <v>0</v>
      </c>
      <c r="L14" s="114">
        <v>0</v>
      </c>
      <c r="M14" s="114">
        <v>0</v>
      </c>
      <c r="N14" s="114">
        <v>0</v>
      </c>
      <c r="O14" s="115">
        <f>L14+M14+N14</f>
        <v>0</v>
      </c>
      <c r="P14" s="116" t="s">
        <v>75</v>
      </c>
    </row>
    <row r="15" spans="1:16" ht="12.75">
      <c r="A15" s="117" t="s">
        <v>705</v>
      </c>
      <c r="B15" s="117" t="s">
        <v>56</v>
      </c>
      <c r="C15" s="118" t="s">
        <v>698</v>
      </c>
      <c r="D15" s="109">
        <f>D16</f>
        <v>0</v>
      </c>
      <c r="E15" s="109">
        <f aca="true" t="shared" si="2" ref="E15:N16">E16</f>
        <v>5353</v>
      </c>
      <c r="F15" s="109">
        <f t="shared" si="2"/>
        <v>0</v>
      </c>
      <c r="G15" s="109">
        <f t="shared" si="1"/>
        <v>5353</v>
      </c>
      <c r="H15" s="109">
        <f t="shared" si="2"/>
        <v>0</v>
      </c>
      <c r="I15" s="109">
        <f t="shared" si="2"/>
        <v>6423.599999999999</v>
      </c>
      <c r="J15" s="109">
        <f t="shared" si="2"/>
        <v>0</v>
      </c>
      <c r="K15" s="109">
        <f>H15+I15+J15</f>
        <v>6423.599999999999</v>
      </c>
      <c r="L15" s="109">
        <f t="shared" si="2"/>
        <v>0</v>
      </c>
      <c r="M15" s="111">
        <f t="shared" si="2"/>
        <v>5353</v>
      </c>
      <c r="N15" s="111">
        <f t="shared" si="2"/>
        <v>0</v>
      </c>
      <c r="O15" s="109">
        <f>L15+M15+N15</f>
        <v>5353</v>
      </c>
      <c r="P15" s="116" t="s">
        <v>64</v>
      </c>
    </row>
    <row r="16" spans="1:16" ht="12.75">
      <c r="A16" s="117" t="s">
        <v>706</v>
      </c>
      <c r="B16" s="117" t="s">
        <v>127</v>
      </c>
      <c r="C16" s="118" t="s">
        <v>698</v>
      </c>
      <c r="D16" s="111">
        <f>D17</f>
        <v>0</v>
      </c>
      <c r="E16" s="111">
        <f t="shared" si="2"/>
        <v>5353</v>
      </c>
      <c r="F16" s="111">
        <f t="shared" si="2"/>
        <v>0</v>
      </c>
      <c r="G16" s="109">
        <f t="shared" si="1"/>
        <v>5353</v>
      </c>
      <c r="H16" s="111">
        <f>H17</f>
        <v>0</v>
      </c>
      <c r="I16" s="111">
        <f t="shared" si="2"/>
        <v>6423.599999999999</v>
      </c>
      <c r="J16" s="111">
        <f t="shared" si="2"/>
        <v>0</v>
      </c>
      <c r="K16" s="109">
        <f>H16+I16+J16</f>
        <v>6423.599999999999</v>
      </c>
      <c r="L16" s="111">
        <f>L17</f>
        <v>0</v>
      </c>
      <c r="M16" s="111">
        <f t="shared" si="2"/>
        <v>5353</v>
      </c>
      <c r="N16" s="111">
        <f t="shared" si="2"/>
        <v>0</v>
      </c>
      <c r="O16" s="109">
        <f>L16+M16+N16</f>
        <v>5353</v>
      </c>
      <c r="P16" s="110" t="s">
        <v>126</v>
      </c>
    </row>
    <row r="17" spans="1:16" ht="118.15" customHeight="1">
      <c r="A17" s="117" t="s">
        <v>707</v>
      </c>
      <c r="B17" s="117" t="s">
        <v>708</v>
      </c>
      <c r="C17" s="117" t="s">
        <v>542</v>
      </c>
      <c r="D17" s="114">
        <v>0</v>
      </c>
      <c r="E17" s="114">
        <f>'№4'!F364</f>
        <v>5353</v>
      </c>
      <c r="F17" s="114">
        <v>0</v>
      </c>
      <c r="G17" s="109">
        <f t="shared" si="1"/>
        <v>5353</v>
      </c>
      <c r="H17" s="114">
        <v>0</v>
      </c>
      <c r="I17" s="114">
        <v>6423.599999999999</v>
      </c>
      <c r="J17" s="114">
        <v>0</v>
      </c>
      <c r="K17" s="109">
        <f>H17+I17+J17</f>
        <v>6423.599999999999</v>
      </c>
      <c r="L17" s="114">
        <v>0</v>
      </c>
      <c r="M17" s="114">
        <v>5353</v>
      </c>
      <c r="N17" s="114">
        <v>0</v>
      </c>
      <c r="O17" s="109">
        <f>L17+M17+N17</f>
        <v>5353</v>
      </c>
      <c r="P17" s="110" t="s">
        <v>126</v>
      </c>
    </row>
    <row r="18" spans="1:16" ht="15.75" customHeight="1">
      <c r="A18" s="108"/>
      <c r="B18" s="108" t="s">
        <v>709</v>
      </c>
      <c r="C18" s="106"/>
      <c r="D18" s="109">
        <f>D11+D15</f>
        <v>198</v>
      </c>
      <c r="E18" s="109">
        <f aca="true" t="shared" si="3" ref="E18:O18">E11+E15</f>
        <v>5353</v>
      </c>
      <c r="F18" s="109">
        <f t="shared" si="3"/>
        <v>0</v>
      </c>
      <c r="G18" s="109">
        <f>G11+G15</f>
        <v>5551</v>
      </c>
      <c r="H18" s="109">
        <f t="shared" si="3"/>
        <v>9000</v>
      </c>
      <c r="I18" s="109">
        <f t="shared" si="3"/>
        <v>6423.599999999999</v>
      </c>
      <c r="J18" s="109">
        <f t="shared" si="3"/>
        <v>0</v>
      </c>
      <c r="K18" s="109">
        <f t="shared" si="3"/>
        <v>15423.599999999999</v>
      </c>
      <c r="L18" s="109">
        <f t="shared" si="3"/>
        <v>0</v>
      </c>
      <c r="M18" s="109">
        <f t="shared" si="3"/>
        <v>5353</v>
      </c>
      <c r="N18" s="109">
        <f t="shared" si="3"/>
        <v>0</v>
      </c>
      <c r="O18" s="109">
        <f t="shared" si="3"/>
        <v>5353</v>
      </c>
      <c r="P18" s="110" t="s">
        <v>698</v>
      </c>
    </row>
    <row r="19" spans="1:16" ht="14.25" customHeight="1">
      <c r="A19" s="119"/>
      <c r="B19" s="119"/>
      <c r="C19" s="120"/>
      <c r="D19" s="121"/>
      <c r="E19" s="121"/>
      <c r="F19" s="121"/>
      <c r="G19" s="122"/>
      <c r="H19" s="121"/>
      <c r="I19" s="121"/>
      <c r="J19" s="121"/>
      <c r="K19" s="122"/>
      <c r="L19" s="121"/>
      <c r="M19" s="121"/>
      <c r="N19" s="121"/>
      <c r="O19" s="122"/>
      <c r="P19" s="123"/>
    </row>
    <row r="20" spans="1:16" ht="2.25" customHeight="1" hidden="1">
      <c r="A20" s="119"/>
      <c r="B20" s="119"/>
      <c r="C20" s="120"/>
      <c r="D20" s="121"/>
      <c r="E20" s="121"/>
      <c r="F20" s="121"/>
      <c r="G20" s="122"/>
      <c r="H20" s="121"/>
      <c r="I20" s="121"/>
      <c r="J20" s="121"/>
      <c r="K20" s="122"/>
      <c r="L20" s="121"/>
      <c r="M20" s="121"/>
      <c r="N20" s="121"/>
      <c r="O20" s="122"/>
      <c r="P20" s="123"/>
    </row>
    <row r="21" spans="1:16" ht="12.75" hidden="1">
      <c r="A21" s="119"/>
      <c r="B21" s="119"/>
      <c r="C21" s="120"/>
      <c r="D21" s="121"/>
      <c r="E21" s="121"/>
      <c r="F21" s="121"/>
      <c r="G21" s="122"/>
      <c r="H21" s="121"/>
      <c r="I21" s="121"/>
      <c r="J21" s="121"/>
      <c r="K21" s="122"/>
      <c r="L21" s="121"/>
      <c r="M21" s="121"/>
      <c r="N21" s="121"/>
      <c r="O21" s="122"/>
      <c r="P21" s="123"/>
    </row>
    <row r="22" spans="1:16" ht="12.75" hidden="1">
      <c r="A22" s="119"/>
      <c r="B22" s="119"/>
      <c r="C22" s="120"/>
      <c r="D22" s="121" t="e">
        <f>D11+#REF!+#REF!</f>
        <v>#REF!</v>
      </c>
      <c r="E22" s="121" t="e">
        <f>E11+#REF!+#REF!</f>
        <v>#REF!</v>
      </c>
      <c r="F22" s="121" t="e">
        <f>F11+#REF!+#REF!</f>
        <v>#REF!</v>
      </c>
      <c r="G22" s="121" t="e">
        <f>G11+#REF!+#REF!</f>
        <v>#REF!</v>
      </c>
      <c r="H22" s="121" t="e">
        <f>H11+#REF!+#REF!</f>
        <v>#REF!</v>
      </c>
      <c r="I22" s="121" t="e">
        <f>I11+#REF!+#REF!</f>
        <v>#REF!</v>
      </c>
      <c r="J22" s="121" t="e">
        <f>J11+#REF!+#REF!</f>
        <v>#REF!</v>
      </c>
      <c r="K22" s="121" t="e">
        <f>K11+#REF!+#REF!</f>
        <v>#REF!</v>
      </c>
      <c r="L22" s="121" t="e">
        <f>L11+#REF!+#REF!</f>
        <v>#REF!</v>
      </c>
      <c r="M22" s="121" t="e">
        <f>M11+#REF!+#REF!</f>
        <v>#REF!</v>
      </c>
      <c r="N22" s="121" t="e">
        <f>N11+#REF!+#REF!</f>
        <v>#REF!</v>
      </c>
      <c r="O22" s="121" t="e">
        <f>O11+#REF!+#REF!</f>
        <v>#REF!</v>
      </c>
      <c r="P22" s="123"/>
    </row>
  </sheetData>
  <mergeCells count="12">
    <mergeCell ref="H9:K9"/>
    <mergeCell ref="L9:O9"/>
    <mergeCell ref="M1:P1"/>
    <mergeCell ref="M2:P2"/>
    <mergeCell ref="M3:P3"/>
    <mergeCell ref="A6:P6"/>
    <mergeCell ref="A8:A10"/>
    <mergeCell ref="B8:B10"/>
    <mergeCell ref="C8:C10"/>
    <mergeCell ref="D8:O8"/>
    <mergeCell ref="P8:P10"/>
    <mergeCell ref="D9:G9"/>
  </mergeCells>
  <printOptions/>
  <pageMargins left="0.4724409448818898" right="0.15748031496062992" top="0.9055118110236221" bottom="0.35433070866141736" header="0.31496062992125984"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1:K156"/>
  <sheetViews>
    <sheetView zoomScale="78" zoomScaleNormal="78" workbookViewId="0" topLeftCell="A136">
      <selection activeCell="C12" sqref="C12"/>
    </sheetView>
  </sheetViews>
  <sheetFormatPr defaultColWidth="9.125" defaultRowHeight="12.75"/>
  <cols>
    <col min="1" max="1" width="31.75390625" style="133" bestFit="1" customWidth="1"/>
    <col min="2" max="2" width="71.875" style="125" customWidth="1"/>
    <col min="3" max="3" width="14.25390625" style="133" customWidth="1"/>
    <col min="4" max="4" width="14.625" style="133" customWidth="1"/>
    <col min="5" max="5" width="15.00390625" style="133" customWidth="1"/>
    <col min="6" max="6" width="16.00390625" style="129" customWidth="1"/>
    <col min="7" max="10" width="10.375" style="129" bestFit="1" customWidth="1"/>
    <col min="11" max="11" width="9.125" style="129" customWidth="1"/>
    <col min="12" max="14" width="9.25390625" style="129" bestFit="1" customWidth="1"/>
    <col min="15" max="16384" width="9.125" style="129" customWidth="1"/>
  </cols>
  <sheetData>
    <row r="1" spans="1:5" ht="16.5">
      <c r="A1" s="124"/>
      <c r="C1" s="126"/>
      <c r="D1" s="127"/>
      <c r="E1" s="128" t="s">
        <v>990</v>
      </c>
    </row>
    <row r="2" spans="1:5" ht="16.5">
      <c r="A2" s="124"/>
      <c r="C2" s="195" t="s">
        <v>716</v>
      </c>
      <c r="D2" s="195"/>
      <c r="E2" s="195"/>
    </row>
    <row r="3" spans="1:9" ht="16.5">
      <c r="A3" s="124"/>
      <c r="C3" s="126"/>
      <c r="D3" s="195" t="s">
        <v>995</v>
      </c>
      <c r="E3" s="195"/>
      <c r="H3" s="130"/>
      <c r="I3" s="130"/>
    </row>
    <row r="4" spans="1:3" ht="16.5">
      <c r="A4" s="124"/>
      <c r="B4" s="131"/>
      <c r="C4" s="132"/>
    </row>
    <row r="5" spans="1:9" ht="62.45" customHeight="1">
      <c r="A5" s="196" t="s">
        <v>717</v>
      </c>
      <c r="B5" s="196"/>
      <c r="C5" s="196"/>
      <c r="D5" s="196"/>
      <c r="E5" s="196"/>
      <c r="F5" s="130"/>
      <c r="G5" s="130"/>
      <c r="H5" s="130"/>
      <c r="I5" s="130"/>
    </row>
    <row r="6" spans="1:5" ht="16.5">
      <c r="A6" s="197" t="s">
        <v>718</v>
      </c>
      <c r="B6" s="198" t="s">
        <v>719</v>
      </c>
      <c r="C6" s="198" t="s">
        <v>720</v>
      </c>
      <c r="D6" s="198"/>
      <c r="E6" s="198"/>
    </row>
    <row r="7" spans="1:5" ht="16.5">
      <c r="A7" s="197"/>
      <c r="B7" s="198"/>
      <c r="C7" s="134" t="s">
        <v>318</v>
      </c>
      <c r="D7" s="134" t="s">
        <v>319</v>
      </c>
      <c r="E7" s="134" t="s">
        <v>320</v>
      </c>
    </row>
    <row r="8" spans="1:10" ht="16.5">
      <c r="A8" s="135" t="s">
        <v>721</v>
      </c>
      <c r="B8" s="136" t="s">
        <v>722</v>
      </c>
      <c r="C8" s="137">
        <f>C9+C20+C28+C36+C41+C55+C68+C76+C61+C14+C101</f>
        <v>361834.50000000006</v>
      </c>
      <c r="D8" s="137">
        <f>D9+D20+D28+D36+D41+D55+D68+D76+D61+D14+D101</f>
        <v>353592.89999999997</v>
      </c>
      <c r="E8" s="137">
        <f>E9+E20+E28+E36+E41+E55+E68+E76+E61+E14+E101</f>
        <v>319215.4</v>
      </c>
      <c r="F8" s="130"/>
      <c r="G8" s="130"/>
      <c r="H8" s="130"/>
      <c r="I8" s="138"/>
      <c r="J8" s="138"/>
    </row>
    <row r="9" spans="1:10" ht="16.5">
      <c r="A9" s="135" t="s">
        <v>723</v>
      </c>
      <c r="B9" s="136" t="s">
        <v>724</v>
      </c>
      <c r="C9" s="137">
        <f>C10</f>
        <v>198734.10000000003</v>
      </c>
      <c r="D9" s="137">
        <f>D10</f>
        <v>188765.5</v>
      </c>
      <c r="E9" s="137">
        <f>E10</f>
        <v>178384.40000000002</v>
      </c>
      <c r="F9" s="130"/>
      <c r="G9" s="130"/>
      <c r="H9" s="130"/>
      <c r="I9" s="138"/>
      <c r="J9" s="138"/>
    </row>
    <row r="10" spans="1:10" ht="16.5">
      <c r="A10" s="135" t="s">
        <v>725</v>
      </c>
      <c r="B10" s="136" t="s">
        <v>726</v>
      </c>
      <c r="C10" s="137">
        <f>C11+C12+C13</f>
        <v>198734.10000000003</v>
      </c>
      <c r="D10" s="137">
        <f>D11+D12+D13</f>
        <v>188765.5</v>
      </c>
      <c r="E10" s="137">
        <f>E11+E12+E13</f>
        <v>178384.40000000002</v>
      </c>
      <c r="F10" s="130"/>
      <c r="G10" s="130"/>
      <c r="H10" s="130"/>
      <c r="I10" s="139"/>
      <c r="J10" s="139"/>
    </row>
    <row r="11" spans="1:10" ht="82.5">
      <c r="A11" s="140" t="s">
        <v>727</v>
      </c>
      <c r="B11" s="141" t="s">
        <v>728</v>
      </c>
      <c r="C11" s="142">
        <v>197289.7</v>
      </c>
      <c r="D11" s="142">
        <v>187422.4</v>
      </c>
      <c r="E11" s="142">
        <v>177117.6</v>
      </c>
      <c r="F11" s="130"/>
      <c r="G11" s="130"/>
      <c r="H11" s="130"/>
      <c r="I11" s="143"/>
      <c r="J11" s="143"/>
    </row>
    <row r="12" spans="1:10" ht="115.5">
      <c r="A12" s="140" t="s">
        <v>729</v>
      </c>
      <c r="B12" s="141" t="s">
        <v>730</v>
      </c>
      <c r="C12" s="142">
        <v>742.7</v>
      </c>
      <c r="D12" s="142">
        <v>700.9</v>
      </c>
      <c r="E12" s="142">
        <v>670.6</v>
      </c>
      <c r="F12" s="130"/>
      <c r="G12" s="130"/>
      <c r="H12" s="130"/>
      <c r="I12" s="143"/>
      <c r="J12" s="143"/>
    </row>
    <row r="13" spans="1:10" ht="49.5">
      <c r="A13" s="140" t="s">
        <v>731</v>
      </c>
      <c r="B13" s="141" t="s">
        <v>732</v>
      </c>
      <c r="C13" s="142">
        <v>701.7</v>
      </c>
      <c r="D13" s="142">
        <v>642.2</v>
      </c>
      <c r="E13" s="142">
        <v>596.2</v>
      </c>
      <c r="F13" s="130"/>
      <c r="G13" s="130"/>
      <c r="H13" s="130"/>
      <c r="I13" s="143"/>
      <c r="J13" s="143"/>
    </row>
    <row r="14" spans="1:8" ht="49.5">
      <c r="A14" s="135" t="s">
        <v>733</v>
      </c>
      <c r="B14" s="136" t="s">
        <v>734</v>
      </c>
      <c r="C14" s="137">
        <f>C15</f>
        <v>2317.4</v>
      </c>
      <c r="D14" s="137">
        <f>D15</f>
        <v>2315</v>
      </c>
      <c r="E14" s="137">
        <f>E15</f>
        <v>2490.8</v>
      </c>
      <c r="F14" s="130"/>
      <c r="G14" s="130"/>
      <c r="H14" s="130"/>
    </row>
    <row r="15" spans="1:8" ht="33">
      <c r="A15" s="135" t="s">
        <v>735</v>
      </c>
      <c r="B15" s="136" t="s">
        <v>736</v>
      </c>
      <c r="C15" s="137">
        <f>C16+C17+C18+C19</f>
        <v>2317.4</v>
      </c>
      <c r="D15" s="137">
        <f>D16+D17+D18</f>
        <v>2315</v>
      </c>
      <c r="E15" s="137">
        <f>E16+E17+E18</f>
        <v>2490.8</v>
      </c>
      <c r="F15" s="130"/>
      <c r="G15" s="130"/>
      <c r="H15" s="130"/>
    </row>
    <row r="16" spans="1:8" ht="66">
      <c r="A16" s="140" t="s">
        <v>737</v>
      </c>
      <c r="B16" s="141" t="s">
        <v>738</v>
      </c>
      <c r="C16" s="142">
        <v>858.1</v>
      </c>
      <c r="D16" s="142">
        <v>834.4</v>
      </c>
      <c r="E16" s="142">
        <v>910.2</v>
      </c>
      <c r="F16" s="194"/>
      <c r="G16" s="130"/>
      <c r="H16" s="130"/>
    </row>
    <row r="17" spans="1:8" ht="82.5">
      <c r="A17" s="140" t="s">
        <v>739</v>
      </c>
      <c r="B17" s="141" t="s">
        <v>740</v>
      </c>
      <c r="C17" s="142">
        <v>8</v>
      </c>
      <c r="D17" s="142">
        <v>8.1</v>
      </c>
      <c r="E17" s="142">
        <v>8.5</v>
      </c>
      <c r="F17" s="194"/>
      <c r="G17" s="130"/>
      <c r="H17" s="130"/>
    </row>
    <row r="18" spans="1:8" ht="66">
      <c r="A18" s="140" t="s">
        <v>741</v>
      </c>
      <c r="B18" s="141" t="s">
        <v>742</v>
      </c>
      <c r="C18" s="142">
        <v>1596.7</v>
      </c>
      <c r="D18" s="142">
        <v>1472.5</v>
      </c>
      <c r="E18" s="142">
        <v>1572.1</v>
      </c>
      <c r="F18" s="194"/>
      <c r="G18" s="130"/>
      <c r="H18" s="130"/>
    </row>
    <row r="19" spans="1:8" ht="66">
      <c r="A19" s="140" t="s">
        <v>743</v>
      </c>
      <c r="B19" s="141" t="s">
        <v>744</v>
      </c>
      <c r="C19" s="142">
        <v>-145.4</v>
      </c>
      <c r="D19" s="142">
        <v>0</v>
      </c>
      <c r="E19" s="142">
        <v>0</v>
      </c>
      <c r="F19" s="194"/>
      <c r="G19" s="130"/>
      <c r="H19" s="130"/>
    </row>
    <row r="20" spans="1:8" ht="16.5">
      <c r="A20" s="135" t="s">
        <v>745</v>
      </c>
      <c r="B20" s="136" t="s">
        <v>746</v>
      </c>
      <c r="C20" s="137">
        <f>C21+C26+C24</f>
        <v>37704.1</v>
      </c>
      <c r="D20" s="137">
        <f aca="true" t="shared" si="0" ref="D20:E20">D21+D26+D24</f>
        <v>39760</v>
      </c>
      <c r="E20" s="137">
        <f t="shared" si="0"/>
        <v>41669</v>
      </c>
      <c r="F20" s="130"/>
      <c r="G20" s="130"/>
      <c r="H20" s="130"/>
    </row>
    <row r="21" spans="1:8" ht="33">
      <c r="A21" s="135" t="s">
        <v>747</v>
      </c>
      <c r="B21" s="136" t="s">
        <v>748</v>
      </c>
      <c r="C21" s="137">
        <f>C22+C23</f>
        <v>33354.2</v>
      </c>
      <c r="D21" s="137">
        <f aca="true" t="shared" si="1" ref="D21:E21">D22+D23</f>
        <v>35173</v>
      </c>
      <c r="E21" s="137">
        <f t="shared" si="1"/>
        <v>36862</v>
      </c>
      <c r="F21" s="130"/>
      <c r="G21" s="130"/>
      <c r="H21" s="130"/>
    </row>
    <row r="22" spans="1:8" ht="33">
      <c r="A22" s="140" t="s">
        <v>749</v>
      </c>
      <c r="B22" s="141" t="s">
        <v>748</v>
      </c>
      <c r="C22" s="142">
        <v>33340</v>
      </c>
      <c r="D22" s="142">
        <v>35173</v>
      </c>
      <c r="E22" s="142">
        <v>36862</v>
      </c>
      <c r="F22" s="130"/>
      <c r="G22" s="130"/>
      <c r="H22" s="130"/>
    </row>
    <row r="23" spans="1:8" ht="49.5">
      <c r="A23" s="140" t="s">
        <v>750</v>
      </c>
      <c r="B23" s="141" t="s">
        <v>751</v>
      </c>
      <c r="C23" s="142">
        <v>14.2</v>
      </c>
      <c r="D23" s="142">
        <v>0</v>
      </c>
      <c r="E23" s="142">
        <v>0</v>
      </c>
      <c r="F23" s="130"/>
      <c r="G23" s="130"/>
      <c r="H23" s="130"/>
    </row>
    <row r="24" spans="1:8" ht="16.5">
      <c r="A24" s="144" t="s">
        <v>752</v>
      </c>
      <c r="B24" s="136" t="s">
        <v>753</v>
      </c>
      <c r="C24" s="137">
        <f>C25</f>
        <v>0.9</v>
      </c>
      <c r="D24" s="137">
        <f aca="true" t="shared" si="2" ref="D24:E24">D25</f>
        <v>0</v>
      </c>
      <c r="E24" s="137">
        <f t="shared" si="2"/>
        <v>0</v>
      </c>
      <c r="F24" s="130"/>
      <c r="G24" s="130"/>
      <c r="H24" s="130"/>
    </row>
    <row r="25" spans="1:8" ht="16.5">
      <c r="A25" s="145" t="s">
        <v>754</v>
      </c>
      <c r="B25" s="141" t="s">
        <v>753</v>
      </c>
      <c r="C25" s="142">
        <v>0.9</v>
      </c>
      <c r="D25" s="142">
        <v>0</v>
      </c>
      <c r="E25" s="142">
        <v>0</v>
      </c>
      <c r="F25" s="130"/>
      <c r="G25" s="130"/>
      <c r="H25" s="130"/>
    </row>
    <row r="26" spans="1:8" ht="33">
      <c r="A26" s="144" t="s">
        <v>755</v>
      </c>
      <c r="B26" s="136" t="s">
        <v>756</v>
      </c>
      <c r="C26" s="137">
        <f>C27</f>
        <v>4349</v>
      </c>
      <c r="D26" s="137">
        <f>D27</f>
        <v>4587</v>
      </c>
      <c r="E26" s="137">
        <f>E27</f>
        <v>4807</v>
      </c>
      <c r="F26" s="130"/>
      <c r="G26" s="130"/>
      <c r="H26" s="130"/>
    </row>
    <row r="27" spans="1:8" ht="33">
      <c r="A27" s="145" t="s">
        <v>757</v>
      </c>
      <c r="B27" s="141" t="s">
        <v>758</v>
      </c>
      <c r="C27" s="142">
        <v>4349</v>
      </c>
      <c r="D27" s="142">
        <v>4587</v>
      </c>
      <c r="E27" s="142">
        <v>4807</v>
      </c>
      <c r="F27" s="130"/>
      <c r="G27" s="130"/>
      <c r="H27" s="130"/>
    </row>
    <row r="28" spans="1:8" ht="16.5">
      <c r="A28" s="135" t="s">
        <v>759</v>
      </c>
      <c r="B28" s="136" t="s">
        <v>760</v>
      </c>
      <c r="C28" s="137">
        <f>C29+C31</f>
        <v>61088</v>
      </c>
      <c r="D28" s="137">
        <f>D29+D31</f>
        <v>46456</v>
      </c>
      <c r="E28" s="137">
        <f>E29+E31</f>
        <v>46456</v>
      </c>
      <c r="F28" s="130"/>
      <c r="G28" s="130"/>
      <c r="H28" s="130"/>
    </row>
    <row r="29" spans="1:8" ht="16.5">
      <c r="A29" s="135" t="s">
        <v>761</v>
      </c>
      <c r="B29" s="136" t="s">
        <v>762</v>
      </c>
      <c r="C29" s="137">
        <f>C30</f>
        <v>13100</v>
      </c>
      <c r="D29" s="137">
        <f>D30</f>
        <v>9668</v>
      </c>
      <c r="E29" s="137">
        <f>E30</f>
        <v>9668</v>
      </c>
      <c r="F29" s="130"/>
      <c r="G29" s="130"/>
      <c r="H29" s="130"/>
    </row>
    <row r="30" spans="1:8" ht="49.5">
      <c r="A30" s="140" t="s">
        <v>763</v>
      </c>
      <c r="B30" s="141" t="s">
        <v>764</v>
      </c>
      <c r="C30" s="146">
        <f>9668+3432</f>
        <v>13100</v>
      </c>
      <c r="D30" s="146">
        <v>9668</v>
      </c>
      <c r="E30" s="146">
        <v>9668</v>
      </c>
      <c r="F30" s="130"/>
      <c r="G30" s="130"/>
      <c r="H30" s="130"/>
    </row>
    <row r="31" spans="1:8" ht="16.5">
      <c r="A31" s="135" t="s">
        <v>765</v>
      </c>
      <c r="B31" s="136" t="s">
        <v>766</v>
      </c>
      <c r="C31" s="137">
        <f>C32+C34</f>
        <v>47988</v>
      </c>
      <c r="D31" s="137">
        <f>D32+D34</f>
        <v>36788</v>
      </c>
      <c r="E31" s="137">
        <f>E32+E34</f>
        <v>36788</v>
      </c>
      <c r="F31" s="130"/>
      <c r="G31" s="130"/>
      <c r="H31" s="130"/>
    </row>
    <row r="32" spans="1:8" ht="16.5">
      <c r="A32" s="140" t="s">
        <v>767</v>
      </c>
      <c r="B32" s="141" t="s">
        <v>768</v>
      </c>
      <c r="C32" s="142">
        <f>C33</f>
        <v>37600</v>
      </c>
      <c r="D32" s="142">
        <f>D33</f>
        <v>31634</v>
      </c>
      <c r="E32" s="142">
        <f>E33</f>
        <v>31634</v>
      </c>
      <c r="F32" s="130"/>
      <c r="G32" s="130"/>
      <c r="H32" s="130"/>
    </row>
    <row r="33" spans="1:8" ht="33">
      <c r="A33" s="140" t="s">
        <v>769</v>
      </c>
      <c r="B33" s="141" t="s">
        <v>770</v>
      </c>
      <c r="C33" s="146">
        <f>31634+5966</f>
        <v>37600</v>
      </c>
      <c r="D33" s="146">
        <v>31634</v>
      </c>
      <c r="E33" s="146">
        <v>31634</v>
      </c>
      <c r="F33" s="130"/>
      <c r="G33" s="130"/>
      <c r="H33" s="130"/>
    </row>
    <row r="34" spans="1:8" ht="16.5">
      <c r="A34" s="140" t="s">
        <v>771</v>
      </c>
      <c r="B34" s="141" t="s">
        <v>772</v>
      </c>
      <c r="C34" s="142">
        <f>C35</f>
        <v>10388</v>
      </c>
      <c r="D34" s="142">
        <f>D35</f>
        <v>5154</v>
      </c>
      <c r="E34" s="142">
        <f>E35</f>
        <v>5154</v>
      </c>
      <c r="F34" s="130"/>
      <c r="G34" s="130"/>
      <c r="H34" s="130"/>
    </row>
    <row r="35" spans="1:8" ht="33">
      <c r="A35" s="140" t="s">
        <v>773</v>
      </c>
      <c r="B35" s="141" t="s">
        <v>774</v>
      </c>
      <c r="C35" s="146">
        <f>5154+5234</f>
        <v>10388</v>
      </c>
      <c r="D35" s="146">
        <v>5154</v>
      </c>
      <c r="E35" s="146">
        <v>5154</v>
      </c>
      <c r="F35" s="130"/>
      <c r="G35" s="130"/>
      <c r="H35" s="130"/>
    </row>
    <row r="36" spans="1:8" ht="16.5">
      <c r="A36" s="135" t="s">
        <v>775</v>
      </c>
      <c r="B36" s="136" t="s">
        <v>776</v>
      </c>
      <c r="C36" s="137">
        <f>C37+C39</f>
        <v>3668.4</v>
      </c>
      <c r="D36" s="137">
        <f>D37+D39</f>
        <v>4338</v>
      </c>
      <c r="E36" s="137">
        <f>E37+E39</f>
        <v>4343</v>
      </c>
      <c r="F36" s="130"/>
      <c r="G36" s="130"/>
      <c r="H36" s="130"/>
    </row>
    <row r="37" spans="1:8" ht="33">
      <c r="A37" s="135" t="s">
        <v>777</v>
      </c>
      <c r="B37" s="136" t="s">
        <v>778</v>
      </c>
      <c r="C37" s="137">
        <f>C38</f>
        <v>3638.4</v>
      </c>
      <c r="D37" s="137">
        <f>D38</f>
        <v>4308</v>
      </c>
      <c r="E37" s="137">
        <f>E38</f>
        <v>4308</v>
      </c>
      <c r="F37" s="130"/>
      <c r="G37" s="130"/>
      <c r="H37" s="130"/>
    </row>
    <row r="38" spans="1:8" ht="49.5">
      <c r="A38" s="140" t="s">
        <v>779</v>
      </c>
      <c r="B38" s="141" t="s">
        <v>780</v>
      </c>
      <c r="C38" s="146">
        <f>4308-669.6</f>
        <v>3638.4</v>
      </c>
      <c r="D38" s="146">
        <v>4308</v>
      </c>
      <c r="E38" s="146">
        <v>4308</v>
      </c>
      <c r="F38" s="130"/>
      <c r="G38" s="130"/>
      <c r="H38" s="130"/>
    </row>
    <row r="39" spans="1:8" ht="49.5">
      <c r="A39" s="135" t="s">
        <v>781</v>
      </c>
      <c r="B39" s="136" t="s">
        <v>782</v>
      </c>
      <c r="C39" s="147">
        <f aca="true" t="shared" si="3" ref="C39:E39">C40</f>
        <v>30</v>
      </c>
      <c r="D39" s="147">
        <f t="shared" si="3"/>
        <v>30</v>
      </c>
      <c r="E39" s="147">
        <f t="shared" si="3"/>
        <v>35</v>
      </c>
      <c r="F39" s="130"/>
      <c r="G39" s="130"/>
      <c r="H39" s="130"/>
    </row>
    <row r="40" spans="1:8" ht="33">
      <c r="A40" s="140" t="s">
        <v>783</v>
      </c>
      <c r="B40" s="141" t="s">
        <v>784</v>
      </c>
      <c r="C40" s="146">
        <v>30</v>
      </c>
      <c r="D40" s="146">
        <v>30</v>
      </c>
      <c r="E40" s="146">
        <v>35</v>
      </c>
      <c r="F40" s="130"/>
      <c r="G40" s="130"/>
      <c r="H40" s="130"/>
    </row>
    <row r="41" spans="1:8" ht="49.5">
      <c r="A41" s="135" t="s">
        <v>785</v>
      </c>
      <c r="B41" s="136" t="s">
        <v>786</v>
      </c>
      <c r="C41" s="137">
        <f>C42+C49+C52</f>
        <v>35046.4</v>
      </c>
      <c r="D41" s="137">
        <f>D42+D49+D52</f>
        <v>34074.200000000004</v>
      </c>
      <c r="E41" s="137">
        <f>E42+E49+E52</f>
        <v>32924.7</v>
      </c>
      <c r="F41" s="130"/>
      <c r="G41" s="130"/>
      <c r="H41" s="130"/>
    </row>
    <row r="42" spans="1:8" ht="99">
      <c r="A42" s="135" t="s">
        <v>787</v>
      </c>
      <c r="B42" s="136" t="s">
        <v>788</v>
      </c>
      <c r="C42" s="137">
        <f>C43+C45+C47</f>
        <v>33659</v>
      </c>
      <c r="D42" s="137">
        <f>D43+D45+D47</f>
        <v>32686.8</v>
      </c>
      <c r="E42" s="137">
        <f>E43+E45+E47</f>
        <v>31537.3</v>
      </c>
      <c r="F42" s="130"/>
      <c r="G42" s="130"/>
      <c r="H42" s="130"/>
    </row>
    <row r="43" spans="1:8" ht="66">
      <c r="A43" s="140" t="s">
        <v>789</v>
      </c>
      <c r="B43" s="141" t="s">
        <v>790</v>
      </c>
      <c r="C43" s="142">
        <f>C44</f>
        <v>15767</v>
      </c>
      <c r="D43" s="142">
        <f>D44</f>
        <v>14794.8</v>
      </c>
      <c r="E43" s="142">
        <f>E44</f>
        <v>13645.3</v>
      </c>
      <c r="F43" s="130"/>
      <c r="G43" s="130"/>
      <c r="H43" s="130"/>
    </row>
    <row r="44" spans="1:8" ht="82.5">
      <c r="A44" s="140" t="s">
        <v>791</v>
      </c>
      <c r="B44" s="141" t="s">
        <v>792</v>
      </c>
      <c r="C44" s="142">
        <v>15767</v>
      </c>
      <c r="D44" s="142">
        <v>14794.8</v>
      </c>
      <c r="E44" s="142">
        <v>13645.3</v>
      </c>
      <c r="F44" s="130"/>
      <c r="G44" s="130"/>
      <c r="H44" s="130"/>
    </row>
    <row r="45" spans="1:8" ht="82.5">
      <c r="A45" s="140" t="s">
        <v>793</v>
      </c>
      <c r="B45" s="141" t="s">
        <v>794</v>
      </c>
      <c r="C45" s="146">
        <f>C46</f>
        <v>1780</v>
      </c>
      <c r="D45" s="146">
        <f>D46</f>
        <v>1780</v>
      </c>
      <c r="E45" s="146">
        <f>E46</f>
        <v>1780</v>
      </c>
      <c r="F45" s="130"/>
      <c r="G45" s="130"/>
      <c r="H45" s="130"/>
    </row>
    <row r="46" spans="1:8" ht="82.5">
      <c r="A46" s="140" t="s">
        <v>795</v>
      </c>
      <c r="B46" s="141" t="s">
        <v>796</v>
      </c>
      <c r="C46" s="142">
        <v>1780</v>
      </c>
      <c r="D46" s="142">
        <v>1780</v>
      </c>
      <c r="E46" s="142">
        <v>1780</v>
      </c>
      <c r="F46" s="130"/>
      <c r="G46" s="130"/>
      <c r="H46" s="130"/>
    </row>
    <row r="47" spans="1:8" ht="49.5">
      <c r="A47" s="140" t="s">
        <v>797</v>
      </c>
      <c r="B47" s="141" t="s">
        <v>798</v>
      </c>
      <c r="C47" s="142">
        <f>C48</f>
        <v>16112</v>
      </c>
      <c r="D47" s="142">
        <f>D48</f>
        <v>16112</v>
      </c>
      <c r="E47" s="142">
        <f>E48</f>
        <v>16112</v>
      </c>
      <c r="F47" s="130"/>
      <c r="G47" s="130"/>
      <c r="H47" s="130"/>
    </row>
    <row r="48" spans="1:8" ht="33">
      <c r="A48" s="140" t="s">
        <v>799</v>
      </c>
      <c r="B48" s="141" t="s">
        <v>800</v>
      </c>
      <c r="C48" s="142">
        <v>16112</v>
      </c>
      <c r="D48" s="142">
        <v>16112</v>
      </c>
      <c r="E48" s="142">
        <v>16112</v>
      </c>
      <c r="F48" s="130"/>
      <c r="G48" s="130"/>
      <c r="H48" s="130"/>
    </row>
    <row r="49" spans="1:8" ht="33">
      <c r="A49" s="135" t="s">
        <v>801</v>
      </c>
      <c r="B49" s="136" t="s">
        <v>802</v>
      </c>
      <c r="C49" s="137">
        <f aca="true" t="shared" si="4" ref="C49:C50">C50</f>
        <v>551.6</v>
      </c>
      <c r="D49" s="137">
        <f>D50</f>
        <v>551.6</v>
      </c>
      <c r="E49" s="137">
        <f>E50</f>
        <v>551.6</v>
      </c>
      <c r="F49" s="130"/>
      <c r="G49" s="130"/>
      <c r="H49" s="130"/>
    </row>
    <row r="50" spans="1:8" ht="49.5">
      <c r="A50" s="140" t="s">
        <v>803</v>
      </c>
      <c r="B50" s="141" t="s">
        <v>804</v>
      </c>
      <c r="C50" s="142">
        <f t="shared" si="4"/>
        <v>551.6</v>
      </c>
      <c r="D50" s="142">
        <f>D51</f>
        <v>551.6</v>
      </c>
      <c r="E50" s="142">
        <f>E51</f>
        <v>551.6</v>
      </c>
      <c r="F50" s="130"/>
      <c r="G50" s="130"/>
      <c r="H50" s="130"/>
    </row>
    <row r="51" spans="1:11" s="148" customFormat="1" ht="49.5">
      <c r="A51" s="140" t="s">
        <v>805</v>
      </c>
      <c r="B51" s="141" t="s">
        <v>806</v>
      </c>
      <c r="C51" s="142">
        <v>551.6</v>
      </c>
      <c r="D51" s="142">
        <v>551.6</v>
      </c>
      <c r="E51" s="142">
        <v>551.6</v>
      </c>
      <c r="F51" s="130"/>
      <c r="G51" s="130"/>
      <c r="H51" s="130"/>
      <c r="I51" s="129"/>
      <c r="J51" s="129"/>
      <c r="K51" s="129"/>
    </row>
    <row r="52" spans="1:11" s="148" customFormat="1" ht="99">
      <c r="A52" s="135" t="s">
        <v>807</v>
      </c>
      <c r="B52" s="136" t="s">
        <v>808</v>
      </c>
      <c r="C52" s="137">
        <f aca="true" t="shared" si="5" ref="C52:C53">C53</f>
        <v>835.8</v>
      </c>
      <c r="D52" s="137">
        <f>D53</f>
        <v>835.8</v>
      </c>
      <c r="E52" s="137">
        <f>E53</f>
        <v>835.8</v>
      </c>
      <c r="F52" s="130"/>
      <c r="G52" s="130"/>
      <c r="H52" s="130"/>
      <c r="I52" s="129"/>
      <c r="J52" s="129"/>
      <c r="K52" s="129"/>
    </row>
    <row r="53" spans="1:11" s="148" customFormat="1" ht="82.5">
      <c r="A53" s="140" t="s">
        <v>809</v>
      </c>
      <c r="B53" s="141" t="s">
        <v>810</v>
      </c>
      <c r="C53" s="142">
        <f t="shared" si="5"/>
        <v>835.8</v>
      </c>
      <c r="D53" s="142">
        <f>D54</f>
        <v>835.8</v>
      </c>
      <c r="E53" s="142">
        <f>E54</f>
        <v>835.8</v>
      </c>
      <c r="F53" s="130"/>
      <c r="G53" s="130"/>
      <c r="H53" s="130"/>
      <c r="I53" s="129"/>
      <c r="J53" s="129"/>
      <c r="K53" s="129"/>
    </row>
    <row r="54" spans="1:11" s="148" customFormat="1" ht="82.5">
      <c r="A54" s="140" t="s">
        <v>811</v>
      </c>
      <c r="B54" s="141" t="s">
        <v>812</v>
      </c>
      <c r="C54" s="142">
        <v>835.8</v>
      </c>
      <c r="D54" s="142">
        <v>835.8</v>
      </c>
      <c r="E54" s="142">
        <v>835.8</v>
      </c>
      <c r="F54" s="130"/>
      <c r="G54" s="130"/>
      <c r="H54" s="130"/>
      <c r="I54" s="129"/>
      <c r="J54" s="129"/>
      <c r="K54" s="129"/>
    </row>
    <row r="55" spans="1:11" s="148" customFormat="1" ht="33">
      <c r="A55" s="135" t="s">
        <v>813</v>
      </c>
      <c r="B55" s="136" t="s">
        <v>814</v>
      </c>
      <c r="C55" s="137">
        <f>C56</f>
        <v>2483.5</v>
      </c>
      <c r="D55" s="137">
        <f>D56</f>
        <v>2589.8</v>
      </c>
      <c r="E55" s="137">
        <f>E56</f>
        <v>2703.7999999999997</v>
      </c>
      <c r="F55" s="130"/>
      <c r="G55" s="130"/>
      <c r="H55" s="130"/>
      <c r="I55" s="129"/>
      <c r="J55" s="129"/>
      <c r="K55" s="129"/>
    </row>
    <row r="56" spans="1:11" s="148" customFormat="1" ht="16.5">
      <c r="A56" s="135" t="s">
        <v>815</v>
      </c>
      <c r="B56" s="136" t="s">
        <v>816</v>
      </c>
      <c r="C56" s="137">
        <f>SUM(C57:C60)</f>
        <v>2483.5</v>
      </c>
      <c r="D56" s="137">
        <f>SUM(D57:D60)</f>
        <v>2589.8</v>
      </c>
      <c r="E56" s="137">
        <f>SUM(E57:E60)</f>
        <v>2703.7999999999997</v>
      </c>
      <c r="F56" s="130"/>
      <c r="G56" s="130"/>
      <c r="H56" s="130"/>
      <c r="I56" s="129"/>
      <c r="J56" s="129"/>
      <c r="K56" s="129"/>
    </row>
    <row r="57" spans="1:11" s="148" customFormat="1" ht="33">
      <c r="A57" s="149" t="s">
        <v>817</v>
      </c>
      <c r="B57" s="141" t="s">
        <v>818</v>
      </c>
      <c r="C57" s="142">
        <v>1450.6</v>
      </c>
      <c r="D57" s="142">
        <v>1512.9</v>
      </c>
      <c r="E57" s="142">
        <v>1579.5</v>
      </c>
      <c r="F57" s="130"/>
      <c r="G57" s="130"/>
      <c r="H57" s="130"/>
      <c r="I57" s="129"/>
      <c r="J57" s="129"/>
      <c r="K57" s="129"/>
    </row>
    <row r="58" spans="1:11" s="148" customFormat="1" ht="33">
      <c r="A58" s="149" t="s">
        <v>819</v>
      </c>
      <c r="B58" s="141" t="s">
        <v>820</v>
      </c>
      <c r="C58" s="142">
        <v>0.5</v>
      </c>
      <c r="D58" s="142">
        <v>0</v>
      </c>
      <c r="E58" s="142">
        <v>0</v>
      </c>
      <c r="F58" s="130"/>
      <c r="G58" s="130"/>
      <c r="H58" s="130"/>
      <c r="I58" s="129"/>
      <c r="J58" s="129"/>
      <c r="K58" s="129"/>
    </row>
    <row r="59" spans="1:11" s="148" customFormat="1" ht="16.5">
      <c r="A59" s="149" t="s">
        <v>821</v>
      </c>
      <c r="B59" s="141" t="s">
        <v>822</v>
      </c>
      <c r="C59" s="142">
        <v>960.2</v>
      </c>
      <c r="D59" s="142">
        <v>1001.6</v>
      </c>
      <c r="E59" s="142">
        <v>1045.7</v>
      </c>
      <c r="F59" s="130"/>
      <c r="G59" s="130"/>
      <c r="H59" s="130"/>
      <c r="I59" s="129"/>
      <c r="J59" s="129"/>
      <c r="K59" s="129"/>
    </row>
    <row r="60" spans="1:11" s="148" customFormat="1" ht="16.5">
      <c r="A60" s="149" t="s">
        <v>823</v>
      </c>
      <c r="B60" s="141" t="s">
        <v>824</v>
      </c>
      <c r="C60" s="142">
        <v>72.2</v>
      </c>
      <c r="D60" s="142">
        <v>75.3</v>
      </c>
      <c r="E60" s="142">
        <v>78.6</v>
      </c>
      <c r="F60" s="130"/>
      <c r="G60" s="130"/>
      <c r="H60" s="130"/>
      <c r="I60" s="129"/>
      <c r="J60" s="129"/>
      <c r="K60" s="129"/>
    </row>
    <row r="61" spans="1:11" s="148" customFormat="1" ht="33">
      <c r="A61" s="135" t="s">
        <v>825</v>
      </c>
      <c r="B61" s="136" t="s">
        <v>826</v>
      </c>
      <c r="C61" s="137">
        <f>C62+C65</f>
        <v>1735.3</v>
      </c>
      <c r="D61" s="137">
        <f aca="true" t="shared" si="6" ref="D61:E61">D62</f>
        <v>1435.1</v>
      </c>
      <c r="E61" s="137">
        <f t="shared" si="6"/>
        <v>1435.1</v>
      </c>
      <c r="F61" s="130"/>
      <c r="G61" s="130"/>
      <c r="H61" s="130"/>
      <c r="I61" s="129"/>
      <c r="J61" s="129"/>
      <c r="K61" s="129"/>
    </row>
    <row r="62" spans="1:11" s="148" customFormat="1" ht="16.5">
      <c r="A62" s="150" t="s">
        <v>827</v>
      </c>
      <c r="B62" s="136" t="s">
        <v>828</v>
      </c>
      <c r="C62" s="137">
        <f aca="true" t="shared" si="7" ref="C62:E63">C63</f>
        <v>1524.6</v>
      </c>
      <c r="D62" s="137">
        <f t="shared" si="7"/>
        <v>1435.1</v>
      </c>
      <c r="E62" s="137">
        <f t="shared" si="7"/>
        <v>1435.1</v>
      </c>
      <c r="F62" s="130"/>
      <c r="G62" s="130"/>
      <c r="H62" s="130"/>
      <c r="I62" s="129"/>
      <c r="J62" s="129"/>
      <c r="K62" s="129"/>
    </row>
    <row r="63" spans="1:11" s="148" customFormat="1" ht="16.5">
      <c r="A63" s="149" t="s">
        <v>829</v>
      </c>
      <c r="B63" s="141" t="s">
        <v>830</v>
      </c>
      <c r="C63" s="142">
        <f t="shared" si="7"/>
        <v>1524.6</v>
      </c>
      <c r="D63" s="142">
        <f t="shared" si="7"/>
        <v>1435.1</v>
      </c>
      <c r="E63" s="142">
        <f t="shared" si="7"/>
        <v>1435.1</v>
      </c>
      <c r="F63" s="130"/>
      <c r="G63" s="130"/>
      <c r="H63" s="130"/>
      <c r="I63" s="129"/>
      <c r="J63" s="129"/>
      <c r="K63" s="129"/>
    </row>
    <row r="64" spans="1:11" s="148" customFormat="1" ht="33">
      <c r="A64" s="149" t="s">
        <v>831</v>
      </c>
      <c r="B64" s="141" t="s">
        <v>832</v>
      </c>
      <c r="C64" s="142">
        <v>1524.6</v>
      </c>
      <c r="D64" s="142">
        <v>1435.1</v>
      </c>
      <c r="E64" s="142">
        <v>1435.1</v>
      </c>
      <c r="F64" s="130"/>
      <c r="G64" s="130"/>
      <c r="H64" s="130"/>
      <c r="I64" s="129"/>
      <c r="J64" s="129"/>
      <c r="K64" s="129"/>
    </row>
    <row r="65" spans="1:11" s="148" customFormat="1" ht="16.5">
      <c r="A65" s="150" t="s">
        <v>833</v>
      </c>
      <c r="B65" s="136" t="s">
        <v>834</v>
      </c>
      <c r="C65" s="137">
        <f>C66</f>
        <v>210.7</v>
      </c>
      <c r="D65" s="137">
        <f aca="true" t="shared" si="8" ref="D65:E66">D66</f>
        <v>0</v>
      </c>
      <c r="E65" s="137">
        <f t="shared" si="8"/>
        <v>0</v>
      </c>
      <c r="F65" s="130"/>
      <c r="G65" s="130"/>
      <c r="H65" s="130"/>
      <c r="I65" s="129"/>
      <c r="J65" s="129"/>
      <c r="K65" s="129"/>
    </row>
    <row r="66" spans="1:11" s="148" customFormat="1" ht="16.5">
      <c r="A66" s="149" t="s">
        <v>835</v>
      </c>
      <c r="B66" s="141" t="s">
        <v>836</v>
      </c>
      <c r="C66" s="142">
        <f>C67</f>
        <v>210.7</v>
      </c>
      <c r="D66" s="142">
        <f t="shared" si="8"/>
        <v>0</v>
      </c>
      <c r="E66" s="142">
        <f t="shared" si="8"/>
        <v>0</v>
      </c>
      <c r="F66" s="130"/>
      <c r="G66" s="130"/>
      <c r="H66" s="130"/>
      <c r="I66" s="129"/>
      <c r="J66" s="129"/>
      <c r="K66" s="129"/>
    </row>
    <row r="67" spans="1:11" s="148" customFormat="1" ht="33">
      <c r="A67" s="149" t="s">
        <v>837</v>
      </c>
      <c r="B67" s="141" t="s">
        <v>838</v>
      </c>
      <c r="C67" s="142">
        <v>210.7</v>
      </c>
      <c r="D67" s="142">
        <v>0</v>
      </c>
      <c r="E67" s="142">
        <v>0</v>
      </c>
      <c r="F67" s="130"/>
      <c r="G67" s="130"/>
      <c r="H67" s="130"/>
      <c r="I67" s="129"/>
      <c r="J67" s="129"/>
      <c r="K67" s="129"/>
    </row>
    <row r="68" spans="1:11" s="148" customFormat="1" ht="33">
      <c r="A68" s="135" t="s">
        <v>839</v>
      </c>
      <c r="B68" s="136" t="s">
        <v>840</v>
      </c>
      <c r="C68" s="137">
        <f>C69+C73</f>
        <v>14079.100000000006</v>
      </c>
      <c r="D68" s="137">
        <f>D69+D73</f>
        <v>28467.8</v>
      </c>
      <c r="E68" s="137">
        <f>E69+E73</f>
        <v>2907.7000000000003</v>
      </c>
      <c r="F68" s="130"/>
      <c r="G68" s="130"/>
      <c r="H68" s="130"/>
      <c r="I68" s="129"/>
      <c r="J68" s="129"/>
      <c r="K68" s="129"/>
    </row>
    <row r="69" spans="1:11" s="148" customFormat="1" ht="99">
      <c r="A69" s="135" t="s">
        <v>841</v>
      </c>
      <c r="B69" s="136" t="s">
        <v>842</v>
      </c>
      <c r="C69" s="137">
        <f aca="true" t="shared" si="9" ref="C69">C70</f>
        <v>10444.300000000005</v>
      </c>
      <c r="D69" s="137">
        <f>D70</f>
        <v>22806</v>
      </c>
      <c r="E69" s="137">
        <f>E70</f>
        <v>359.4</v>
      </c>
      <c r="F69" s="130"/>
      <c r="G69" s="130"/>
      <c r="H69" s="130"/>
      <c r="I69" s="129"/>
      <c r="J69" s="129"/>
      <c r="K69" s="129"/>
    </row>
    <row r="70" spans="1:11" s="148" customFormat="1" ht="99">
      <c r="A70" s="140" t="s">
        <v>843</v>
      </c>
      <c r="B70" s="141" t="s">
        <v>844</v>
      </c>
      <c r="C70" s="142">
        <f>C71+C72</f>
        <v>10444.300000000005</v>
      </c>
      <c r="D70" s="142">
        <f aca="true" t="shared" si="10" ref="D70:E70">D71+D72</f>
        <v>22806</v>
      </c>
      <c r="E70" s="142">
        <f t="shared" si="10"/>
        <v>359.4</v>
      </c>
      <c r="F70" s="130"/>
      <c r="G70" s="130"/>
      <c r="H70" s="130"/>
      <c r="I70" s="129"/>
      <c r="J70" s="129"/>
      <c r="K70" s="129"/>
    </row>
    <row r="71" spans="1:11" s="148" customFormat="1" ht="99">
      <c r="A71" s="140" t="s">
        <v>845</v>
      </c>
      <c r="B71" s="141" t="s">
        <v>846</v>
      </c>
      <c r="C71" s="142">
        <f>10444.2+31355.9-31355.9</f>
        <v>10444.200000000004</v>
      </c>
      <c r="D71" s="142">
        <f>3568.7+19237.3</f>
        <v>22806</v>
      </c>
      <c r="E71" s="142">
        <v>359.4</v>
      </c>
      <c r="F71" s="130"/>
      <c r="G71" s="130"/>
      <c r="H71" s="130"/>
      <c r="I71" s="129"/>
      <c r="J71" s="129"/>
      <c r="K71" s="129"/>
    </row>
    <row r="72" spans="1:11" s="148" customFormat="1" ht="82.5">
      <c r="A72" s="140" t="s">
        <v>847</v>
      </c>
      <c r="B72" s="141" t="s">
        <v>848</v>
      </c>
      <c r="C72" s="142">
        <v>0.1</v>
      </c>
      <c r="D72" s="142">
        <v>0</v>
      </c>
      <c r="E72" s="142">
        <v>0</v>
      </c>
      <c r="F72" s="130"/>
      <c r="G72" s="130"/>
      <c r="H72" s="130"/>
      <c r="I72" s="129"/>
      <c r="J72" s="129"/>
      <c r="K72" s="129"/>
    </row>
    <row r="73" spans="1:11" s="148" customFormat="1" ht="33">
      <c r="A73" s="135" t="s">
        <v>849</v>
      </c>
      <c r="B73" s="136" t="s">
        <v>850</v>
      </c>
      <c r="C73" s="137">
        <f>C74</f>
        <v>3634.8</v>
      </c>
      <c r="D73" s="137">
        <f aca="true" t="shared" si="11" ref="D73:E73">D74</f>
        <v>5661.8</v>
      </c>
      <c r="E73" s="137">
        <f t="shared" si="11"/>
        <v>2548.3</v>
      </c>
      <c r="F73" s="130"/>
      <c r="G73" s="130"/>
      <c r="H73" s="130"/>
      <c r="I73" s="129"/>
      <c r="J73" s="129"/>
      <c r="K73" s="129"/>
    </row>
    <row r="74" spans="1:11" s="148" customFormat="1" ht="33">
      <c r="A74" s="140" t="s">
        <v>851</v>
      </c>
      <c r="B74" s="141" t="s">
        <v>852</v>
      </c>
      <c r="C74" s="142">
        <f>C75</f>
        <v>3634.8</v>
      </c>
      <c r="D74" s="142">
        <f>D75</f>
        <v>5661.8</v>
      </c>
      <c r="E74" s="142">
        <f>E75</f>
        <v>2548.3</v>
      </c>
      <c r="F74" s="130"/>
      <c r="G74" s="130"/>
      <c r="H74" s="130"/>
      <c r="I74" s="129"/>
      <c r="J74" s="129"/>
      <c r="K74" s="129"/>
    </row>
    <row r="75" spans="1:11" s="148" customFormat="1" ht="49.5">
      <c r="A75" s="140" t="s">
        <v>853</v>
      </c>
      <c r="B75" s="141" t="s">
        <v>854</v>
      </c>
      <c r="C75" s="142">
        <v>3634.8</v>
      </c>
      <c r="D75" s="142">
        <v>5661.8</v>
      </c>
      <c r="E75" s="142">
        <v>2548.3</v>
      </c>
      <c r="F75" s="130"/>
      <c r="G75" s="130"/>
      <c r="H75" s="130"/>
      <c r="I75" s="129"/>
      <c r="J75" s="129"/>
      <c r="K75" s="129"/>
    </row>
    <row r="76" spans="1:11" s="148" customFormat="1" ht="16.5">
      <c r="A76" s="135" t="s">
        <v>855</v>
      </c>
      <c r="B76" s="136" t="s">
        <v>856</v>
      </c>
      <c r="C76" s="137">
        <f>C77+C84+C87+C94+C97+C99+C80+C81+C88+C92+C96</f>
        <v>4978.1</v>
      </c>
      <c r="D76" s="137">
        <f>D77+D84+D87+D94+D97+D99+D80</f>
        <v>5391.5</v>
      </c>
      <c r="E76" s="137">
        <f>E77+E84+E87+E94+E97+E99+E80</f>
        <v>5900.9</v>
      </c>
      <c r="F76" s="130"/>
      <c r="G76" s="130"/>
      <c r="H76" s="130"/>
      <c r="I76" s="129"/>
      <c r="J76" s="129"/>
      <c r="K76" s="129"/>
    </row>
    <row r="77" spans="1:11" s="148" customFormat="1" ht="33">
      <c r="A77" s="135" t="s">
        <v>857</v>
      </c>
      <c r="B77" s="136" t="s">
        <v>858</v>
      </c>
      <c r="C77" s="137">
        <f>C78+C79</f>
        <v>35.5</v>
      </c>
      <c r="D77" s="137">
        <f>D78+D79</f>
        <v>35.5</v>
      </c>
      <c r="E77" s="137">
        <f>E78+E79</f>
        <v>35.5</v>
      </c>
      <c r="F77" s="130"/>
      <c r="G77" s="130"/>
      <c r="H77" s="130"/>
      <c r="I77" s="129"/>
      <c r="J77" s="129"/>
      <c r="K77" s="129"/>
    </row>
    <row r="78" spans="1:11" s="148" customFormat="1" ht="82.5">
      <c r="A78" s="140" t="s">
        <v>859</v>
      </c>
      <c r="B78" s="141" t="s">
        <v>860</v>
      </c>
      <c r="C78" s="142">
        <f>55/2</f>
        <v>27.5</v>
      </c>
      <c r="D78" s="142">
        <f>55/2</f>
        <v>27.5</v>
      </c>
      <c r="E78" s="142">
        <f>55/2</f>
        <v>27.5</v>
      </c>
      <c r="F78" s="130"/>
      <c r="G78" s="130"/>
      <c r="H78" s="130"/>
      <c r="I78" s="129"/>
      <c r="J78" s="129"/>
      <c r="K78" s="129"/>
    </row>
    <row r="79" spans="1:11" s="148" customFormat="1" ht="66">
      <c r="A79" s="140" t="s">
        <v>861</v>
      </c>
      <c r="B79" s="141" t="s">
        <v>862</v>
      </c>
      <c r="C79" s="142">
        <f>16/2</f>
        <v>8</v>
      </c>
      <c r="D79" s="142">
        <f>16/2</f>
        <v>8</v>
      </c>
      <c r="E79" s="142">
        <f>16/2</f>
        <v>8</v>
      </c>
      <c r="F79" s="130"/>
      <c r="G79" s="130"/>
      <c r="H79" s="130"/>
      <c r="I79" s="129"/>
      <c r="J79" s="129"/>
      <c r="K79" s="129"/>
    </row>
    <row r="80" spans="1:11" s="148" customFormat="1" ht="66">
      <c r="A80" s="150" t="s">
        <v>863</v>
      </c>
      <c r="B80" s="136" t="s">
        <v>864</v>
      </c>
      <c r="C80" s="137">
        <v>31</v>
      </c>
      <c r="D80" s="137">
        <v>31</v>
      </c>
      <c r="E80" s="137">
        <v>31</v>
      </c>
      <c r="F80" s="130"/>
      <c r="G80" s="130"/>
      <c r="H80" s="130"/>
      <c r="I80" s="129"/>
      <c r="J80" s="129"/>
      <c r="K80" s="129"/>
    </row>
    <row r="81" spans="1:11" s="148" customFormat="1" ht="66">
      <c r="A81" s="135" t="s">
        <v>865</v>
      </c>
      <c r="B81" s="136" t="s">
        <v>866</v>
      </c>
      <c r="C81" s="137">
        <f>C82+C83</f>
        <v>109.60000000000001</v>
      </c>
      <c r="D81" s="137">
        <f aca="true" t="shared" si="12" ref="D81:E81">D82</f>
        <v>0</v>
      </c>
      <c r="E81" s="137">
        <f t="shared" si="12"/>
        <v>0</v>
      </c>
      <c r="F81" s="130"/>
      <c r="G81" s="130"/>
      <c r="H81" s="130"/>
      <c r="I81" s="129"/>
      <c r="J81" s="129"/>
      <c r="K81" s="129"/>
    </row>
    <row r="82" spans="1:11" s="148" customFormat="1" ht="66">
      <c r="A82" s="140" t="s">
        <v>867</v>
      </c>
      <c r="B82" s="141" t="s">
        <v>868</v>
      </c>
      <c r="C82" s="142">
        <f>5+104.2</f>
        <v>109.2</v>
      </c>
      <c r="D82" s="142">
        <v>0</v>
      </c>
      <c r="E82" s="142">
        <v>0</v>
      </c>
      <c r="F82" s="151"/>
      <c r="G82" s="130"/>
      <c r="H82" s="130"/>
      <c r="I82" s="129"/>
      <c r="J82" s="129"/>
      <c r="K82" s="129"/>
    </row>
    <row r="83" spans="1:11" s="148" customFormat="1" ht="49.5">
      <c r="A83" s="140" t="s">
        <v>869</v>
      </c>
      <c r="B83" s="141" t="s">
        <v>870</v>
      </c>
      <c r="C83" s="142">
        <v>0.4</v>
      </c>
      <c r="D83" s="142">
        <v>0</v>
      </c>
      <c r="E83" s="142">
        <v>0</v>
      </c>
      <c r="F83" s="152"/>
      <c r="G83" s="130"/>
      <c r="H83" s="130"/>
      <c r="I83" s="129"/>
      <c r="J83" s="129"/>
      <c r="K83" s="129"/>
    </row>
    <row r="84" spans="1:11" s="148" customFormat="1" ht="132">
      <c r="A84" s="135" t="s">
        <v>871</v>
      </c>
      <c r="B84" s="136" t="s">
        <v>872</v>
      </c>
      <c r="C84" s="137">
        <f>C86+C85</f>
        <v>717.5</v>
      </c>
      <c r="D84" s="137">
        <f>D86</f>
        <v>1021</v>
      </c>
      <c r="E84" s="137">
        <f>E86</f>
        <v>1531</v>
      </c>
      <c r="F84" s="130"/>
      <c r="G84" s="130"/>
      <c r="H84" s="130"/>
      <c r="I84" s="129"/>
      <c r="J84" s="129"/>
      <c r="K84" s="129"/>
    </row>
    <row r="85" spans="1:11" s="148" customFormat="1" ht="33">
      <c r="A85" s="176" t="s">
        <v>992</v>
      </c>
      <c r="B85" s="177" t="s">
        <v>993</v>
      </c>
      <c r="C85" s="175">
        <v>36.5</v>
      </c>
      <c r="D85" s="175">
        <v>0</v>
      </c>
      <c r="E85" s="175">
        <v>0</v>
      </c>
      <c r="F85" s="130"/>
      <c r="G85" s="130"/>
      <c r="H85" s="130"/>
      <c r="I85" s="129"/>
      <c r="J85" s="129"/>
      <c r="K85" s="129"/>
    </row>
    <row r="86" spans="1:11" s="148" customFormat="1" ht="33">
      <c r="A86" s="140" t="s">
        <v>873</v>
      </c>
      <c r="B86" s="141" t="s">
        <v>874</v>
      </c>
      <c r="C86" s="142">
        <f>681</f>
        <v>681</v>
      </c>
      <c r="D86" s="142">
        <v>1021</v>
      </c>
      <c r="E86" s="142">
        <v>1531</v>
      </c>
      <c r="F86" s="153"/>
      <c r="G86" s="130"/>
      <c r="H86" s="130"/>
      <c r="I86" s="129"/>
      <c r="J86" s="129"/>
      <c r="K86" s="129"/>
    </row>
    <row r="87" spans="1:11" s="148" customFormat="1" ht="66">
      <c r="A87" s="135" t="s">
        <v>875</v>
      </c>
      <c r="B87" s="136" t="s">
        <v>876</v>
      </c>
      <c r="C87" s="137">
        <f>3000-1397.1</f>
        <v>1602.9</v>
      </c>
      <c r="D87" s="137">
        <v>3074</v>
      </c>
      <c r="E87" s="137">
        <v>3074</v>
      </c>
      <c r="F87" s="130"/>
      <c r="G87" s="130"/>
      <c r="H87" s="130"/>
      <c r="I87" s="129"/>
      <c r="J87" s="129"/>
      <c r="K87" s="129"/>
    </row>
    <row r="88" spans="1:11" s="148" customFormat="1" ht="33">
      <c r="A88" s="135" t="s">
        <v>877</v>
      </c>
      <c r="B88" s="136" t="s">
        <v>878</v>
      </c>
      <c r="C88" s="137">
        <f>C89+C91</f>
        <v>170</v>
      </c>
      <c r="D88" s="137">
        <f aca="true" t="shared" si="13" ref="D88:E88">D89+D91</f>
        <v>0</v>
      </c>
      <c r="E88" s="137">
        <f t="shared" si="13"/>
        <v>0</v>
      </c>
      <c r="F88" s="130"/>
      <c r="G88" s="130"/>
      <c r="H88" s="130"/>
      <c r="I88" s="129"/>
      <c r="J88" s="129"/>
      <c r="K88" s="129"/>
    </row>
    <row r="89" spans="1:11" s="148" customFormat="1" ht="49.5">
      <c r="A89" s="140" t="s">
        <v>879</v>
      </c>
      <c r="B89" s="141" t="s">
        <v>880</v>
      </c>
      <c r="C89" s="142">
        <f>C90</f>
        <v>5</v>
      </c>
      <c r="D89" s="142">
        <f aca="true" t="shared" si="14" ref="D89:E89">D90</f>
        <v>0</v>
      </c>
      <c r="E89" s="142">
        <f t="shared" si="14"/>
        <v>0</v>
      </c>
      <c r="F89" s="130"/>
      <c r="G89" s="130"/>
      <c r="H89" s="130"/>
      <c r="I89" s="129"/>
      <c r="J89" s="129"/>
      <c r="K89" s="129"/>
    </row>
    <row r="90" spans="1:11" s="148" customFormat="1" ht="66">
      <c r="A90" s="140" t="s">
        <v>881</v>
      </c>
      <c r="B90" s="141" t="s">
        <v>882</v>
      </c>
      <c r="C90" s="142">
        <v>5</v>
      </c>
      <c r="D90" s="142">
        <v>0</v>
      </c>
      <c r="E90" s="142">
        <v>0</v>
      </c>
      <c r="F90" s="152"/>
      <c r="G90" s="130"/>
      <c r="H90" s="130"/>
      <c r="I90" s="129"/>
      <c r="J90" s="129"/>
      <c r="K90" s="129"/>
    </row>
    <row r="91" spans="1:11" s="148" customFormat="1" ht="33">
      <c r="A91" s="140" t="s">
        <v>883</v>
      </c>
      <c r="B91" s="141" t="s">
        <v>884</v>
      </c>
      <c r="C91" s="142">
        <v>165</v>
      </c>
      <c r="D91" s="142">
        <v>0</v>
      </c>
      <c r="E91" s="142">
        <v>0</v>
      </c>
      <c r="F91" s="152"/>
      <c r="G91" s="130"/>
      <c r="H91" s="130"/>
      <c r="I91" s="129"/>
      <c r="J91" s="129"/>
      <c r="K91" s="129"/>
    </row>
    <row r="92" spans="1:11" s="148" customFormat="1" ht="66">
      <c r="A92" s="135" t="s">
        <v>885</v>
      </c>
      <c r="B92" s="136" t="s">
        <v>886</v>
      </c>
      <c r="C92" s="137">
        <f>C93</f>
        <v>143</v>
      </c>
      <c r="D92" s="137">
        <f aca="true" t="shared" si="15" ref="D92:E92">D93</f>
        <v>0</v>
      </c>
      <c r="E92" s="137">
        <f t="shared" si="15"/>
        <v>0</v>
      </c>
      <c r="F92" s="152"/>
      <c r="G92" s="130"/>
      <c r="H92" s="130"/>
      <c r="I92" s="129"/>
      <c r="J92" s="129"/>
      <c r="K92" s="129"/>
    </row>
    <row r="93" spans="1:11" s="148" customFormat="1" ht="66">
      <c r="A93" s="140" t="s">
        <v>887</v>
      </c>
      <c r="B93" s="141" t="s">
        <v>888</v>
      </c>
      <c r="C93" s="142">
        <v>143</v>
      </c>
      <c r="D93" s="142">
        <v>0</v>
      </c>
      <c r="E93" s="142">
        <v>0</v>
      </c>
      <c r="F93" s="152"/>
      <c r="G93" s="130"/>
      <c r="H93" s="130"/>
      <c r="I93" s="129"/>
      <c r="J93" s="129"/>
      <c r="K93" s="129"/>
    </row>
    <row r="94" spans="1:11" s="148" customFormat="1" ht="66">
      <c r="A94" s="135" t="s">
        <v>889</v>
      </c>
      <c r="B94" s="136" t="s">
        <v>890</v>
      </c>
      <c r="C94" s="137">
        <f>C95</f>
        <v>124</v>
      </c>
      <c r="D94" s="137">
        <f>D95</f>
        <v>124</v>
      </c>
      <c r="E94" s="137">
        <f>E95</f>
        <v>124</v>
      </c>
      <c r="F94" s="130"/>
      <c r="G94" s="130"/>
      <c r="H94" s="130"/>
      <c r="I94" s="129"/>
      <c r="J94" s="129"/>
      <c r="K94" s="129"/>
    </row>
    <row r="95" spans="1:11" s="148" customFormat="1" ht="82.5">
      <c r="A95" s="154" t="s">
        <v>891</v>
      </c>
      <c r="B95" s="141" t="s">
        <v>892</v>
      </c>
      <c r="C95" s="142">
        <f>124</f>
        <v>124</v>
      </c>
      <c r="D95" s="142">
        <v>124</v>
      </c>
      <c r="E95" s="142">
        <v>124</v>
      </c>
      <c r="F95" s="130"/>
      <c r="G95" s="130"/>
      <c r="H95" s="130"/>
      <c r="I95" s="129"/>
      <c r="J95" s="129"/>
      <c r="K95" s="129"/>
    </row>
    <row r="96" spans="1:11" s="148" customFormat="1" ht="82.5">
      <c r="A96" s="135" t="s">
        <v>893</v>
      </c>
      <c r="B96" s="136" t="s">
        <v>894</v>
      </c>
      <c r="C96" s="137">
        <v>30.7</v>
      </c>
      <c r="D96" s="137">
        <v>0</v>
      </c>
      <c r="E96" s="137">
        <v>0</v>
      </c>
      <c r="F96" s="152"/>
      <c r="G96" s="130"/>
      <c r="H96" s="130"/>
      <c r="I96" s="129"/>
      <c r="J96" s="129"/>
      <c r="K96" s="129"/>
    </row>
    <row r="97" spans="1:11" s="148" customFormat="1" ht="49.5">
      <c r="A97" s="150" t="s">
        <v>895</v>
      </c>
      <c r="B97" s="136" t="s">
        <v>896</v>
      </c>
      <c r="C97" s="137">
        <f>C98</f>
        <v>48.5</v>
      </c>
      <c r="D97" s="137">
        <f>D98</f>
        <v>48.5</v>
      </c>
      <c r="E97" s="137">
        <f>E98</f>
        <v>48.5</v>
      </c>
      <c r="F97" s="130"/>
      <c r="G97" s="130"/>
      <c r="H97" s="130"/>
      <c r="I97" s="129"/>
      <c r="J97" s="129"/>
      <c r="K97" s="129"/>
    </row>
    <row r="98" spans="1:11" s="148" customFormat="1" ht="66">
      <c r="A98" s="149" t="s">
        <v>897</v>
      </c>
      <c r="B98" s="141" t="s">
        <v>898</v>
      </c>
      <c r="C98" s="142">
        <v>48.5</v>
      </c>
      <c r="D98" s="142">
        <v>48.5</v>
      </c>
      <c r="E98" s="142">
        <v>48.5</v>
      </c>
      <c r="F98" s="130"/>
      <c r="G98" s="130"/>
      <c r="H98" s="130"/>
      <c r="I98" s="129"/>
      <c r="J98" s="129"/>
      <c r="K98" s="129"/>
    </row>
    <row r="99" spans="1:11" s="148" customFormat="1" ht="33">
      <c r="A99" s="135" t="s">
        <v>899</v>
      </c>
      <c r="B99" s="136" t="s">
        <v>900</v>
      </c>
      <c r="C99" s="137">
        <f>C100</f>
        <v>1965.3999999999999</v>
      </c>
      <c r="D99" s="137">
        <f>D100</f>
        <v>1057.5</v>
      </c>
      <c r="E99" s="137">
        <f>E100</f>
        <v>1056.9</v>
      </c>
      <c r="F99" s="130"/>
      <c r="G99" s="130"/>
      <c r="H99" s="130"/>
      <c r="I99" s="129"/>
      <c r="J99" s="129"/>
      <c r="K99" s="129"/>
    </row>
    <row r="100" spans="1:11" s="148" customFormat="1" ht="49.5">
      <c r="A100" s="140" t="s">
        <v>901</v>
      </c>
      <c r="B100" s="141" t="s">
        <v>902</v>
      </c>
      <c r="C100" s="142">
        <f>29.8+12+116.3+900+442.8+286+22.5+156</f>
        <v>1965.3999999999999</v>
      </c>
      <c r="D100" s="142">
        <f>29.2+12+116.3+900</f>
        <v>1057.5</v>
      </c>
      <c r="E100" s="142">
        <f>28.6+12+116.3+900</f>
        <v>1056.9</v>
      </c>
      <c r="F100" s="151"/>
      <c r="G100" s="130"/>
      <c r="H100" s="130"/>
      <c r="I100" s="155"/>
      <c r="J100" s="155"/>
      <c r="K100" s="155"/>
    </row>
    <row r="101" spans="1:11" s="148" customFormat="1" ht="16.5">
      <c r="A101" s="135" t="s">
        <v>903</v>
      </c>
      <c r="B101" s="136" t="s">
        <v>904</v>
      </c>
      <c r="C101" s="137">
        <f>C102</f>
        <v>0.1</v>
      </c>
      <c r="D101" s="137">
        <f aca="true" t="shared" si="16" ref="D101:E102">D102</f>
        <v>0</v>
      </c>
      <c r="E101" s="137">
        <f t="shared" si="16"/>
        <v>0</v>
      </c>
      <c r="F101" s="130"/>
      <c r="G101" s="130"/>
      <c r="H101" s="130"/>
      <c r="I101" s="155"/>
      <c r="J101" s="155"/>
      <c r="K101" s="155"/>
    </row>
    <row r="102" spans="1:11" s="148" customFormat="1" ht="16.5">
      <c r="A102" s="135" t="s">
        <v>905</v>
      </c>
      <c r="B102" s="136" t="s">
        <v>906</v>
      </c>
      <c r="C102" s="137">
        <f>C103</f>
        <v>0.1</v>
      </c>
      <c r="D102" s="137">
        <f t="shared" si="16"/>
        <v>0</v>
      </c>
      <c r="E102" s="137">
        <f t="shared" si="16"/>
        <v>0</v>
      </c>
      <c r="F102" s="130"/>
      <c r="G102" s="130"/>
      <c r="H102" s="130"/>
      <c r="I102" s="155"/>
      <c r="J102" s="155"/>
      <c r="K102" s="155"/>
    </row>
    <row r="103" spans="1:11" s="148" customFormat="1" ht="16.5">
      <c r="A103" s="140" t="s">
        <v>907</v>
      </c>
      <c r="B103" s="141" t="s">
        <v>908</v>
      </c>
      <c r="C103" s="142">
        <v>0.1</v>
      </c>
      <c r="D103" s="142">
        <v>0</v>
      </c>
      <c r="E103" s="142">
        <v>0</v>
      </c>
      <c r="F103" s="130"/>
      <c r="G103" s="130"/>
      <c r="H103" s="130"/>
      <c r="I103" s="155"/>
      <c r="J103" s="155"/>
      <c r="K103" s="155"/>
    </row>
    <row r="104" spans="1:11" s="148" customFormat="1" ht="16.5">
      <c r="A104" s="135" t="s">
        <v>909</v>
      </c>
      <c r="B104" s="136" t="s">
        <v>910</v>
      </c>
      <c r="C104" s="137">
        <f>C105+C149+C153</f>
        <v>389545.2</v>
      </c>
      <c r="D104" s="137">
        <f>D105+D149+D153</f>
        <v>280826</v>
      </c>
      <c r="E104" s="137">
        <f>E105+E149+E153</f>
        <v>279755.1</v>
      </c>
      <c r="F104" s="130"/>
      <c r="G104" s="130"/>
      <c r="H104" s="130"/>
      <c r="I104" s="129"/>
      <c r="J104" s="129"/>
      <c r="K104" s="129"/>
    </row>
    <row r="105" spans="1:11" s="148" customFormat="1" ht="49.5">
      <c r="A105" s="156" t="s">
        <v>911</v>
      </c>
      <c r="B105" s="157" t="s">
        <v>912</v>
      </c>
      <c r="C105" s="137">
        <f>C132+C106+C109+C146</f>
        <v>388315</v>
      </c>
      <c r="D105" s="137">
        <f>D132+D106+D109+D146</f>
        <v>280826</v>
      </c>
      <c r="E105" s="137">
        <f>E132+E106+E109+E146</f>
        <v>279755.1</v>
      </c>
      <c r="F105" s="130"/>
      <c r="G105" s="130"/>
      <c r="H105" s="130"/>
      <c r="I105" s="129"/>
      <c r="J105" s="129"/>
      <c r="K105" s="129"/>
    </row>
    <row r="106" spans="1:11" s="148" customFormat="1" ht="33">
      <c r="A106" s="158" t="s">
        <v>913</v>
      </c>
      <c r="B106" s="159" t="s">
        <v>914</v>
      </c>
      <c r="C106" s="137">
        <f aca="true" t="shared" si="17" ref="C106:C107">C107</f>
        <v>11345</v>
      </c>
      <c r="D106" s="137">
        <f>D107</f>
        <v>0</v>
      </c>
      <c r="E106" s="137">
        <f>E107</f>
        <v>0</v>
      </c>
      <c r="F106" s="129"/>
      <c r="G106" s="129"/>
      <c r="H106" s="129"/>
      <c r="I106" s="129"/>
      <c r="J106" s="129"/>
      <c r="K106" s="129"/>
    </row>
    <row r="107" spans="1:11" s="148" customFormat="1" ht="33">
      <c r="A107" s="140" t="s">
        <v>915</v>
      </c>
      <c r="B107" s="160" t="s">
        <v>916</v>
      </c>
      <c r="C107" s="142">
        <f t="shared" si="17"/>
        <v>11345</v>
      </c>
      <c r="D107" s="142">
        <f>D108</f>
        <v>0</v>
      </c>
      <c r="E107" s="142">
        <f>E108</f>
        <v>0</v>
      </c>
      <c r="F107" s="129"/>
      <c r="G107" s="129"/>
      <c r="H107" s="129"/>
      <c r="I107" s="129"/>
      <c r="J107" s="129"/>
      <c r="K107" s="129"/>
    </row>
    <row r="108" spans="1:5" s="148" customFormat="1" ht="33">
      <c r="A108" s="140" t="s">
        <v>917</v>
      </c>
      <c r="B108" s="160" t="s">
        <v>918</v>
      </c>
      <c r="C108" s="142">
        <f>11112+11578-11345</f>
        <v>11345</v>
      </c>
      <c r="D108" s="142">
        <v>0</v>
      </c>
      <c r="E108" s="142">
        <v>0</v>
      </c>
    </row>
    <row r="109" spans="1:5" s="148" customFormat="1" ht="33">
      <c r="A109" s="156" t="s">
        <v>919</v>
      </c>
      <c r="B109" s="157" t="s">
        <v>920</v>
      </c>
      <c r="C109" s="137">
        <f>C120+C112+C110+C114+C116+C118</f>
        <v>88827.6</v>
      </c>
      <c r="D109" s="137">
        <f aca="true" t="shared" si="18" ref="D109:E109">D120+D112+D110+D114+D116+D118</f>
        <v>0</v>
      </c>
      <c r="E109" s="137">
        <f t="shared" si="18"/>
        <v>0</v>
      </c>
    </row>
    <row r="110" spans="1:5" s="148" customFormat="1" ht="33">
      <c r="A110" s="140" t="s">
        <v>921</v>
      </c>
      <c r="B110" s="161" t="s">
        <v>922</v>
      </c>
      <c r="C110" s="142">
        <f>C111</f>
        <v>1784.1</v>
      </c>
      <c r="D110" s="142">
        <f aca="true" t="shared" si="19" ref="D110:E110">D111</f>
        <v>0</v>
      </c>
      <c r="E110" s="142">
        <f t="shared" si="19"/>
        <v>0</v>
      </c>
    </row>
    <row r="111" spans="1:5" s="148" customFormat="1" ht="33">
      <c r="A111" s="140" t="s">
        <v>923</v>
      </c>
      <c r="B111" s="161" t="s">
        <v>924</v>
      </c>
      <c r="C111" s="142">
        <v>1784.1</v>
      </c>
      <c r="D111" s="142">
        <v>0</v>
      </c>
      <c r="E111" s="142">
        <v>0</v>
      </c>
    </row>
    <row r="112" spans="1:5" s="148" customFormat="1" ht="82.5">
      <c r="A112" s="140" t="s">
        <v>925</v>
      </c>
      <c r="B112" s="161" t="s">
        <v>926</v>
      </c>
      <c r="C112" s="142">
        <f>C113</f>
        <v>57245.5</v>
      </c>
      <c r="D112" s="142">
        <f aca="true" t="shared" si="20" ref="D112:E112">D113</f>
        <v>0</v>
      </c>
      <c r="E112" s="142">
        <f t="shared" si="20"/>
        <v>0</v>
      </c>
    </row>
    <row r="113" spans="1:5" s="148" customFormat="1" ht="99">
      <c r="A113" s="140" t="s">
        <v>927</v>
      </c>
      <c r="B113" s="161" t="s">
        <v>928</v>
      </c>
      <c r="C113" s="142">
        <f>51687.7+5557.8</f>
        <v>57245.5</v>
      </c>
      <c r="D113" s="142">
        <v>0</v>
      </c>
      <c r="E113" s="142">
        <v>0</v>
      </c>
    </row>
    <row r="114" spans="1:5" s="148" customFormat="1" ht="49.5">
      <c r="A114" s="140" t="s">
        <v>929</v>
      </c>
      <c r="B114" s="161" t="s">
        <v>930</v>
      </c>
      <c r="C114" s="142">
        <f>C115</f>
        <v>2855.7</v>
      </c>
      <c r="D114" s="142">
        <f aca="true" t="shared" si="21" ref="D114:E114">D115</f>
        <v>0</v>
      </c>
      <c r="E114" s="142">
        <f t="shared" si="21"/>
        <v>0</v>
      </c>
    </row>
    <row r="115" spans="1:5" s="148" customFormat="1" ht="49.5">
      <c r="A115" s="140" t="s">
        <v>931</v>
      </c>
      <c r="B115" s="161" t="s">
        <v>932</v>
      </c>
      <c r="C115" s="142">
        <v>2855.7</v>
      </c>
      <c r="D115" s="142">
        <v>0</v>
      </c>
      <c r="E115" s="142">
        <v>0</v>
      </c>
    </row>
    <row r="116" spans="1:5" s="148" customFormat="1" ht="16.5">
      <c r="A116" s="140" t="s">
        <v>933</v>
      </c>
      <c r="B116" s="161" t="s">
        <v>934</v>
      </c>
      <c r="C116" s="142">
        <f>C117</f>
        <v>30</v>
      </c>
      <c r="D116" s="142">
        <f aca="true" t="shared" si="22" ref="D116:E116">D117</f>
        <v>0</v>
      </c>
      <c r="E116" s="142">
        <f t="shared" si="22"/>
        <v>0</v>
      </c>
    </row>
    <row r="117" spans="1:5" s="148" customFormat="1" ht="33">
      <c r="A117" s="140" t="s">
        <v>935</v>
      </c>
      <c r="B117" s="161" t="s">
        <v>936</v>
      </c>
      <c r="C117" s="142">
        <v>30</v>
      </c>
      <c r="D117" s="142">
        <v>0</v>
      </c>
      <c r="E117" s="142">
        <v>0</v>
      </c>
    </row>
    <row r="118" spans="1:5" s="148" customFormat="1" ht="66">
      <c r="A118" s="140" t="s">
        <v>937</v>
      </c>
      <c r="B118" s="161" t="s">
        <v>938</v>
      </c>
      <c r="C118" s="142">
        <f>C119</f>
        <v>252.3</v>
      </c>
      <c r="D118" s="142">
        <f aca="true" t="shared" si="23" ref="D118:E118">D119</f>
        <v>0</v>
      </c>
      <c r="E118" s="142">
        <f t="shared" si="23"/>
        <v>0</v>
      </c>
    </row>
    <row r="119" spans="1:5" s="148" customFormat="1" ht="82.5">
      <c r="A119" s="140" t="s">
        <v>939</v>
      </c>
      <c r="B119" s="161" t="s">
        <v>940</v>
      </c>
      <c r="C119" s="142">
        <v>252.3</v>
      </c>
      <c r="D119" s="142">
        <v>0</v>
      </c>
      <c r="E119" s="142">
        <v>0</v>
      </c>
    </row>
    <row r="120" spans="1:5" s="148" customFormat="1" ht="16.5">
      <c r="A120" s="140" t="s">
        <v>941</v>
      </c>
      <c r="B120" s="161" t="s">
        <v>942</v>
      </c>
      <c r="C120" s="142">
        <f>SUM(C121:C131)</f>
        <v>26660</v>
      </c>
      <c r="D120" s="142">
        <f>SUM(D121:D130)</f>
        <v>0</v>
      </c>
      <c r="E120" s="142">
        <f>SUM(E121:E130)</f>
        <v>0</v>
      </c>
    </row>
    <row r="121" spans="1:5" s="148" customFormat="1" ht="49.5">
      <c r="A121" s="140" t="s">
        <v>943</v>
      </c>
      <c r="B121" s="161" t="s">
        <v>537</v>
      </c>
      <c r="C121" s="142">
        <v>1477.9</v>
      </c>
      <c r="D121" s="142">
        <v>0</v>
      </c>
      <c r="E121" s="142">
        <v>0</v>
      </c>
    </row>
    <row r="122" spans="1:5" s="148" customFormat="1" ht="16.5">
      <c r="A122" s="140" t="s">
        <v>943</v>
      </c>
      <c r="B122" s="161" t="s">
        <v>944</v>
      </c>
      <c r="C122" s="142">
        <v>485.9</v>
      </c>
      <c r="D122" s="142">
        <v>0</v>
      </c>
      <c r="E122" s="142">
        <v>0</v>
      </c>
    </row>
    <row r="123" spans="1:5" s="148" customFormat="1" ht="16.5">
      <c r="A123" s="140" t="s">
        <v>943</v>
      </c>
      <c r="B123" s="161" t="s">
        <v>540</v>
      </c>
      <c r="C123" s="142">
        <f>236.1+2829.8</f>
        <v>3065.9</v>
      </c>
      <c r="D123" s="142">
        <v>0</v>
      </c>
      <c r="E123" s="142">
        <v>0</v>
      </c>
    </row>
    <row r="124" spans="1:5" s="148" customFormat="1" ht="49.5">
      <c r="A124" s="140" t="s">
        <v>943</v>
      </c>
      <c r="B124" s="161" t="s">
        <v>541</v>
      </c>
      <c r="C124" s="142">
        <v>4212.5</v>
      </c>
      <c r="D124" s="142">
        <v>0</v>
      </c>
      <c r="E124" s="142">
        <v>0</v>
      </c>
    </row>
    <row r="125" spans="1:5" s="148" customFormat="1" ht="33">
      <c r="A125" s="140" t="s">
        <v>943</v>
      </c>
      <c r="B125" s="161" t="s">
        <v>580</v>
      </c>
      <c r="C125" s="142">
        <f>2980.9+2173</f>
        <v>5153.9</v>
      </c>
      <c r="D125" s="142">
        <v>0</v>
      </c>
      <c r="E125" s="142">
        <v>0</v>
      </c>
    </row>
    <row r="126" spans="1:5" s="148" customFormat="1" ht="49.5">
      <c r="A126" s="140" t="s">
        <v>943</v>
      </c>
      <c r="B126" s="161" t="s">
        <v>602</v>
      </c>
      <c r="C126" s="142">
        <v>2467.2</v>
      </c>
      <c r="D126" s="142">
        <v>0</v>
      </c>
      <c r="E126" s="142">
        <v>0</v>
      </c>
    </row>
    <row r="127" spans="1:5" s="148" customFormat="1" ht="82.5">
      <c r="A127" s="140" t="s">
        <v>943</v>
      </c>
      <c r="B127" s="161" t="s">
        <v>945</v>
      </c>
      <c r="C127" s="142">
        <v>205.9</v>
      </c>
      <c r="D127" s="142">
        <v>0</v>
      </c>
      <c r="E127" s="142">
        <v>0</v>
      </c>
    </row>
    <row r="128" spans="1:5" s="148" customFormat="1" ht="33">
      <c r="A128" s="140" t="s">
        <v>943</v>
      </c>
      <c r="B128" s="161" t="s">
        <v>623</v>
      </c>
      <c r="C128" s="142">
        <v>600</v>
      </c>
      <c r="D128" s="142">
        <v>0</v>
      </c>
      <c r="E128" s="142">
        <v>0</v>
      </c>
    </row>
    <row r="129" spans="1:5" s="148" customFormat="1" ht="49.5">
      <c r="A129" s="140" t="s">
        <v>943</v>
      </c>
      <c r="B129" s="161" t="s">
        <v>630</v>
      </c>
      <c r="C129" s="142">
        <f>4995+493.5</f>
        <v>5488.5</v>
      </c>
      <c r="D129" s="142">
        <v>0</v>
      </c>
      <c r="E129" s="142">
        <v>0</v>
      </c>
    </row>
    <row r="130" spans="1:5" s="148" customFormat="1" ht="33">
      <c r="A130" s="140" t="s">
        <v>943</v>
      </c>
      <c r="B130" s="161" t="s">
        <v>629</v>
      </c>
      <c r="C130" s="142">
        <v>3403.3</v>
      </c>
      <c r="D130" s="142">
        <v>0</v>
      </c>
      <c r="E130" s="142">
        <v>0</v>
      </c>
    </row>
    <row r="131" spans="1:5" s="148" customFormat="1" ht="33">
      <c r="A131" s="140" t="s">
        <v>943</v>
      </c>
      <c r="B131" s="161" t="s">
        <v>641</v>
      </c>
      <c r="C131" s="142">
        <v>99</v>
      </c>
      <c r="D131" s="142">
        <v>0</v>
      </c>
      <c r="E131" s="142">
        <v>0</v>
      </c>
    </row>
    <row r="132" spans="1:5" ht="33">
      <c r="A132" s="156" t="s">
        <v>946</v>
      </c>
      <c r="B132" s="157" t="s">
        <v>947</v>
      </c>
      <c r="C132" s="137">
        <f>C137+C135+C139+C133</f>
        <v>287192.39999999997</v>
      </c>
      <c r="D132" s="137">
        <f>D137+D135+D139+D133</f>
        <v>280826</v>
      </c>
      <c r="E132" s="137">
        <f>E137+E135+E139+E133</f>
        <v>279755.1</v>
      </c>
    </row>
    <row r="133" spans="1:5" ht="82.5">
      <c r="A133" s="140" t="s">
        <v>948</v>
      </c>
      <c r="B133" s="161" t="s">
        <v>949</v>
      </c>
      <c r="C133" s="142">
        <f>C134</f>
        <v>9069.3</v>
      </c>
      <c r="D133" s="142">
        <f>D134</f>
        <v>9069.3</v>
      </c>
      <c r="E133" s="142">
        <f>E134</f>
        <v>9069.3</v>
      </c>
    </row>
    <row r="134" spans="1:5" ht="82.5">
      <c r="A134" s="162" t="s">
        <v>950</v>
      </c>
      <c r="B134" s="161" t="s">
        <v>951</v>
      </c>
      <c r="C134" s="142">
        <v>9069.3</v>
      </c>
      <c r="D134" s="142">
        <v>9069.3</v>
      </c>
      <c r="E134" s="142">
        <v>9069.3</v>
      </c>
    </row>
    <row r="135" spans="1:5" ht="66">
      <c r="A135" s="140" t="s">
        <v>952</v>
      </c>
      <c r="B135" s="161" t="s">
        <v>953</v>
      </c>
      <c r="C135" s="142">
        <f>C136</f>
        <v>5353</v>
      </c>
      <c r="D135" s="142">
        <f>D136</f>
        <v>6423.599999999999</v>
      </c>
      <c r="E135" s="142">
        <f>E136</f>
        <v>5353</v>
      </c>
    </row>
    <row r="136" spans="1:5" ht="66">
      <c r="A136" s="140" t="s">
        <v>954</v>
      </c>
      <c r="B136" s="161" t="s">
        <v>955</v>
      </c>
      <c r="C136" s="142">
        <f>4282.4+1070.6</f>
        <v>5353</v>
      </c>
      <c r="D136" s="142">
        <f>4282.4+2141.2</f>
        <v>6423.599999999999</v>
      </c>
      <c r="E136" s="142">
        <f>4282.4+1070.6</f>
        <v>5353</v>
      </c>
    </row>
    <row r="137" spans="1:5" ht="33">
      <c r="A137" s="140" t="s">
        <v>956</v>
      </c>
      <c r="B137" s="161" t="s">
        <v>957</v>
      </c>
      <c r="C137" s="142">
        <f>C138</f>
        <v>1393.5</v>
      </c>
      <c r="D137" s="142">
        <f>D138</f>
        <v>1251.3</v>
      </c>
      <c r="E137" s="142">
        <f>E138</f>
        <v>1251</v>
      </c>
    </row>
    <row r="138" spans="1:5" ht="33">
      <c r="A138" s="140" t="s">
        <v>958</v>
      </c>
      <c r="B138" s="161" t="s">
        <v>959</v>
      </c>
      <c r="C138" s="142">
        <f>1251.6+141.9</f>
        <v>1393.5</v>
      </c>
      <c r="D138" s="142">
        <v>1251.3</v>
      </c>
      <c r="E138" s="142">
        <v>1251</v>
      </c>
    </row>
    <row r="139" spans="1:5" ht="16.5">
      <c r="A139" s="140" t="s">
        <v>960</v>
      </c>
      <c r="B139" s="161" t="s">
        <v>961</v>
      </c>
      <c r="C139" s="142">
        <f>SUM(C140:C145)</f>
        <v>271376.6</v>
      </c>
      <c r="D139" s="142">
        <f aca="true" t="shared" si="24" ref="D139:E139">SUM(D140:D145)</f>
        <v>264081.8</v>
      </c>
      <c r="E139" s="142">
        <f t="shared" si="24"/>
        <v>264081.8</v>
      </c>
    </row>
    <row r="140" spans="1:5" ht="99">
      <c r="A140" s="140" t="s">
        <v>962</v>
      </c>
      <c r="B140" s="161" t="s">
        <v>963</v>
      </c>
      <c r="C140" s="142">
        <f>176625+28</f>
        <v>176653</v>
      </c>
      <c r="D140" s="142">
        <f>176625+28</f>
        <v>176653</v>
      </c>
      <c r="E140" s="142">
        <f>176625+28</f>
        <v>176653</v>
      </c>
    </row>
    <row r="141" spans="1:5" ht="66">
      <c r="A141" s="140" t="s">
        <v>962</v>
      </c>
      <c r="B141" s="161" t="s">
        <v>964</v>
      </c>
      <c r="C141" s="142">
        <f>85439+680+4036.5+3255.7</f>
        <v>93411.2</v>
      </c>
      <c r="D141" s="142">
        <f>85439+680</f>
        <v>86119</v>
      </c>
      <c r="E141" s="142">
        <f>85439+680</f>
        <v>86119</v>
      </c>
    </row>
    <row r="142" spans="1:5" ht="49.5">
      <c r="A142" s="140" t="s">
        <v>962</v>
      </c>
      <c r="B142" s="161" t="s">
        <v>965</v>
      </c>
      <c r="C142" s="142">
        <v>650</v>
      </c>
      <c r="D142" s="142">
        <v>650</v>
      </c>
      <c r="E142" s="142">
        <v>650</v>
      </c>
    </row>
    <row r="143" spans="1:5" ht="66">
      <c r="A143" s="140" t="s">
        <v>962</v>
      </c>
      <c r="B143" s="161" t="s">
        <v>966</v>
      </c>
      <c r="C143" s="142">
        <v>264</v>
      </c>
      <c r="D143" s="142">
        <v>264</v>
      </c>
      <c r="E143" s="142">
        <v>264</v>
      </c>
    </row>
    <row r="144" spans="1:5" ht="99">
      <c r="A144" s="140" t="s">
        <v>962</v>
      </c>
      <c r="B144" s="161" t="s">
        <v>967</v>
      </c>
      <c r="C144" s="142">
        <v>395.8</v>
      </c>
      <c r="D144" s="142">
        <v>395.8</v>
      </c>
      <c r="E144" s="142">
        <v>395.8</v>
      </c>
    </row>
    <row r="145" spans="1:5" ht="99">
      <c r="A145" s="140" t="s">
        <v>962</v>
      </c>
      <c r="B145" s="161" t="s">
        <v>968</v>
      </c>
      <c r="C145" s="142">
        <v>2.6</v>
      </c>
      <c r="D145" s="142">
        <v>0</v>
      </c>
      <c r="E145" s="142">
        <v>0</v>
      </c>
    </row>
    <row r="146" spans="1:5" ht="16.5">
      <c r="A146" s="156" t="s">
        <v>969</v>
      </c>
      <c r="B146" s="157" t="s">
        <v>970</v>
      </c>
      <c r="C146" s="137">
        <f>C147</f>
        <v>950</v>
      </c>
      <c r="D146" s="137">
        <f aca="true" t="shared" si="25" ref="D146:E147">D147</f>
        <v>0</v>
      </c>
      <c r="E146" s="137">
        <f t="shared" si="25"/>
        <v>0</v>
      </c>
    </row>
    <row r="147" spans="1:5" ht="16.5">
      <c r="A147" s="140" t="s">
        <v>971</v>
      </c>
      <c r="B147" s="161" t="s">
        <v>972</v>
      </c>
      <c r="C147" s="142">
        <f>C148</f>
        <v>950</v>
      </c>
      <c r="D147" s="142">
        <f t="shared" si="25"/>
        <v>0</v>
      </c>
      <c r="E147" s="142">
        <f t="shared" si="25"/>
        <v>0</v>
      </c>
    </row>
    <row r="148" spans="1:5" ht="49.5">
      <c r="A148" s="140" t="s">
        <v>973</v>
      </c>
      <c r="B148" s="161" t="s">
        <v>974</v>
      </c>
      <c r="C148" s="142">
        <v>950</v>
      </c>
      <c r="D148" s="142">
        <v>0</v>
      </c>
      <c r="E148" s="142">
        <v>0</v>
      </c>
    </row>
    <row r="149" spans="1:5" ht="33">
      <c r="A149" s="135" t="s">
        <v>975</v>
      </c>
      <c r="B149" s="157" t="s">
        <v>976</v>
      </c>
      <c r="C149" s="137">
        <f aca="true" t="shared" si="26" ref="C149">C150</f>
        <v>703.3</v>
      </c>
      <c r="D149" s="137">
        <f>D150</f>
        <v>0</v>
      </c>
      <c r="E149" s="137">
        <f>E150</f>
        <v>0</v>
      </c>
    </row>
    <row r="150" spans="1:5" ht="33">
      <c r="A150" s="140" t="s">
        <v>977</v>
      </c>
      <c r="B150" s="161" t="s">
        <v>978</v>
      </c>
      <c r="C150" s="142">
        <f>SUM(C151:C152)</f>
        <v>703.3</v>
      </c>
      <c r="D150" s="142">
        <f>D151</f>
        <v>0</v>
      </c>
      <c r="E150" s="142">
        <f>E151</f>
        <v>0</v>
      </c>
    </row>
    <row r="151" spans="1:5" ht="33">
      <c r="A151" s="140" t="s">
        <v>979</v>
      </c>
      <c r="B151" s="161" t="s">
        <v>980</v>
      </c>
      <c r="C151" s="142">
        <f>811.1-263.5</f>
        <v>547.6</v>
      </c>
      <c r="D151" s="142">
        <v>0</v>
      </c>
      <c r="E151" s="142">
        <v>0</v>
      </c>
    </row>
    <row r="152" spans="1:5" ht="49.5">
      <c r="A152" s="140" t="s">
        <v>981</v>
      </c>
      <c r="B152" s="161" t="s">
        <v>982</v>
      </c>
      <c r="C152" s="142">
        <v>155.7</v>
      </c>
      <c r="D152" s="142">
        <v>0</v>
      </c>
      <c r="E152" s="142">
        <v>0</v>
      </c>
    </row>
    <row r="153" spans="1:6" ht="16.5">
      <c r="A153" s="163" t="s">
        <v>983</v>
      </c>
      <c r="B153" s="164" t="s">
        <v>984</v>
      </c>
      <c r="C153" s="165">
        <f>C154</f>
        <v>526.9</v>
      </c>
      <c r="D153" s="165">
        <f aca="true" t="shared" si="27" ref="D153:E154">D154</f>
        <v>0</v>
      </c>
      <c r="E153" s="165">
        <f t="shared" si="27"/>
        <v>0</v>
      </c>
      <c r="F153" s="166"/>
    </row>
    <row r="154" spans="1:6" ht="33">
      <c r="A154" s="167" t="s">
        <v>985</v>
      </c>
      <c r="B154" s="168" t="s">
        <v>986</v>
      </c>
      <c r="C154" s="169">
        <f>C155</f>
        <v>526.9</v>
      </c>
      <c r="D154" s="169">
        <f t="shared" si="27"/>
        <v>0</v>
      </c>
      <c r="E154" s="169">
        <f t="shared" si="27"/>
        <v>0</v>
      </c>
      <c r="F154" s="166"/>
    </row>
    <row r="155" spans="1:6" ht="49.5">
      <c r="A155" s="167" t="s">
        <v>987</v>
      </c>
      <c r="B155" s="168" t="s">
        <v>988</v>
      </c>
      <c r="C155" s="169">
        <v>526.9</v>
      </c>
      <c r="D155" s="169">
        <v>0</v>
      </c>
      <c r="E155" s="169">
        <v>0</v>
      </c>
      <c r="F155" s="166"/>
    </row>
    <row r="156" spans="1:8" ht="16.5">
      <c r="A156" s="170"/>
      <c r="B156" s="171" t="s">
        <v>989</v>
      </c>
      <c r="C156" s="137">
        <f>C8+C104</f>
        <v>751379.7000000001</v>
      </c>
      <c r="D156" s="137">
        <f>D8+D104</f>
        <v>634418.8999999999</v>
      </c>
      <c r="E156" s="137">
        <f>E8+E104</f>
        <v>598970.5</v>
      </c>
      <c r="F156" s="130"/>
      <c r="G156" s="130"/>
      <c r="H156" s="130"/>
    </row>
  </sheetData>
  <mergeCells count="7">
    <mergeCell ref="F16:F19"/>
    <mergeCell ref="C2:E2"/>
    <mergeCell ref="D3:E3"/>
    <mergeCell ref="A5:E5"/>
    <mergeCell ref="A6:A7"/>
    <mergeCell ref="B6:B7"/>
    <mergeCell ref="C6:E6"/>
  </mergeCells>
  <printOptions/>
  <pageMargins left="0.5905511811023623" right="0.1968503937007874" top="0.1968503937007874" bottom="0.1968503937007874" header="0.31496062992125984" footer="0.31496062992125984"/>
  <pageSetup fitToHeight="4"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E46"/>
  <sheetViews>
    <sheetView workbookViewId="0" topLeftCell="A1">
      <selection activeCell="A2" sqref="A2:E2"/>
    </sheetView>
  </sheetViews>
  <sheetFormatPr defaultColWidth="8.875" defaultRowHeight="12.75"/>
  <cols>
    <col min="1" max="1" width="8.25390625" style="30" customWidth="1"/>
    <col min="2" max="2" width="74.00390625" style="30" customWidth="1"/>
    <col min="3" max="3" width="11.25390625" style="30" customWidth="1"/>
    <col min="4" max="4" width="12.00390625" style="30" customWidth="1"/>
    <col min="5" max="5" width="11.75390625" style="30" customWidth="1"/>
    <col min="6" max="16384" width="8.875" style="24" customWidth="1"/>
  </cols>
  <sheetData>
    <row r="1" spans="1:5" ht="55.9" customHeight="1">
      <c r="A1" s="202" t="s">
        <v>1003</v>
      </c>
      <c r="B1" s="202"/>
      <c r="C1" s="202"/>
      <c r="D1" s="202"/>
      <c r="E1" s="202"/>
    </row>
    <row r="2" spans="1:5" ht="63.6" customHeight="1">
      <c r="A2" s="203" t="s">
        <v>327</v>
      </c>
      <c r="B2" s="203"/>
      <c r="C2" s="203"/>
      <c r="D2" s="203"/>
      <c r="E2" s="203"/>
    </row>
    <row r="3" spans="1:5" ht="12.75">
      <c r="A3" s="199" t="s">
        <v>61</v>
      </c>
      <c r="B3" s="199" t="s">
        <v>24</v>
      </c>
      <c r="C3" s="204" t="s">
        <v>311</v>
      </c>
      <c r="D3" s="205"/>
      <c r="E3" s="206"/>
    </row>
    <row r="4" spans="1:5" ht="12.75">
      <c r="A4" s="200"/>
      <c r="B4" s="200"/>
      <c r="C4" s="199" t="s">
        <v>318</v>
      </c>
      <c r="D4" s="204" t="s">
        <v>328</v>
      </c>
      <c r="E4" s="206"/>
    </row>
    <row r="5" spans="1:5" ht="12.75">
      <c r="A5" s="201"/>
      <c r="B5" s="201"/>
      <c r="C5" s="201"/>
      <c r="D5" s="57" t="s">
        <v>319</v>
      </c>
      <c r="E5" s="57" t="s">
        <v>320</v>
      </c>
    </row>
    <row r="6" spans="1:5" ht="12.75">
      <c r="A6" s="57" t="s">
        <v>6</v>
      </c>
      <c r="B6" s="57" t="s">
        <v>104</v>
      </c>
      <c r="C6" s="57" t="s">
        <v>105</v>
      </c>
      <c r="D6" s="57" t="s">
        <v>106</v>
      </c>
      <c r="E6" s="57" t="s">
        <v>107</v>
      </c>
    </row>
    <row r="7" spans="1:5" ht="12.75">
      <c r="A7" s="25" t="s">
        <v>93</v>
      </c>
      <c r="B7" s="29" t="s">
        <v>85</v>
      </c>
      <c r="C7" s="27">
        <f>C8+C16+C19+C24+C28+C34+C36+C40+C43+C45</f>
        <v>756431.4000000001</v>
      </c>
      <c r="D7" s="27">
        <f aca="true" t="shared" si="0" ref="D7:E7">D8+D16+D19+D24+D28+D34+D36+D40+D43+D45</f>
        <v>624418.9000000001</v>
      </c>
      <c r="E7" s="27">
        <f t="shared" si="0"/>
        <v>598970.5</v>
      </c>
    </row>
    <row r="8" spans="1:5" ht="12.75">
      <c r="A8" s="25" t="s">
        <v>81</v>
      </c>
      <c r="B8" s="3" t="s">
        <v>26</v>
      </c>
      <c r="C8" s="27">
        <f>C9+C10+C11+C12+C14+C15+C13</f>
        <v>64299.2</v>
      </c>
      <c r="D8" s="27">
        <f aca="true" t="shared" si="1" ref="D8:E8">D9+D10+D11+D12+D14+D15</f>
        <v>61664.2</v>
      </c>
      <c r="E8" s="27">
        <f t="shared" si="1"/>
        <v>61699.4</v>
      </c>
    </row>
    <row r="9" spans="1:5" ht="33">
      <c r="A9" s="57" t="s">
        <v>68</v>
      </c>
      <c r="B9" s="51" t="s">
        <v>86</v>
      </c>
      <c r="C9" s="28">
        <f>'№5'!E9</f>
        <v>1589.9</v>
      </c>
      <c r="D9" s="28">
        <f>'№5'!F9</f>
        <v>1479</v>
      </c>
      <c r="E9" s="28">
        <f>'№5'!G9</f>
        <v>1479</v>
      </c>
    </row>
    <row r="10" spans="1:5" ht="49.5">
      <c r="A10" s="57" t="s">
        <v>69</v>
      </c>
      <c r="B10" s="51" t="s">
        <v>44</v>
      </c>
      <c r="C10" s="28">
        <f>'№5'!E14</f>
        <v>4059.6</v>
      </c>
      <c r="D10" s="28">
        <f>'№5'!F14</f>
        <v>4105.3</v>
      </c>
      <c r="E10" s="28">
        <f>'№5'!G14</f>
        <v>4105.3</v>
      </c>
    </row>
    <row r="11" spans="1:5" ht="49.5">
      <c r="A11" s="57" t="s">
        <v>70</v>
      </c>
      <c r="B11" s="51" t="s">
        <v>45</v>
      </c>
      <c r="C11" s="28">
        <f>'№5'!E25</f>
        <v>35722.5</v>
      </c>
      <c r="D11" s="28">
        <f>'№5'!F25</f>
        <v>35825.1</v>
      </c>
      <c r="E11" s="28">
        <f>'№5'!G25</f>
        <v>35825.1</v>
      </c>
    </row>
    <row r="12" spans="1:5" ht="33">
      <c r="A12" s="57" t="s">
        <v>71</v>
      </c>
      <c r="B12" s="51" t="s">
        <v>12</v>
      </c>
      <c r="C12" s="28">
        <f>'№5'!E37</f>
        <v>9521.5</v>
      </c>
      <c r="D12" s="28">
        <f>'№5'!F37</f>
        <v>9521.5</v>
      </c>
      <c r="E12" s="28">
        <f>'№5'!G37</f>
        <v>9521.5</v>
      </c>
    </row>
    <row r="13" spans="1:5" ht="12.75">
      <c r="A13" s="34" t="s">
        <v>560</v>
      </c>
      <c r="B13" s="5" t="s">
        <v>561</v>
      </c>
      <c r="C13" s="28">
        <f>'№5'!E44</f>
        <v>280</v>
      </c>
      <c r="D13" s="28">
        <f>'№5'!F44</f>
        <v>0</v>
      </c>
      <c r="E13" s="28">
        <f>'№5'!G44</f>
        <v>0</v>
      </c>
    </row>
    <row r="14" spans="1:5" ht="12.75">
      <c r="A14" s="57" t="s">
        <v>72</v>
      </c>
      <c r="B14" s="51" t="s">
        <v>13</v>
      </c>
      <c r="C14" s="28">
        <f>'№5'!E49</f>
        <v>1401.2</v>
      </c>
      <c r="D14" s="28">
        <f>'№5'!F49</f>
        <v>500</v>
      </c>
      <c r="E14" s="28">
        <f>'№5'!G49</f>
        <v>500</v>
      </c>
    </row>
    <row r="15" spans="1:5" ht="12.75">
      <c r="A15" s="57" t="s">
        <v>87</v>
      </c>
      <c r="B15" s="51" t="s">
        <v>46</v>
      </c>
      <c r="C15" s="28">
        <f>'№5'!E54</f>
        <v>11724.5</v>
      </c>
      <c r="D15" s="28">
        <f>'№5'!F54</f>
        <v>10233.3</v>
      </c>
      <c r="E15" s="28">
        <f>'№5'!G54</f>
        <v>10268.5</v>
      </c>
    </row>
    <row r="16" spans="1:5" ht="20.25" customHeight="1">
      <c r="A16" s="25" t="s">
        <v>82</v>
      </c>
      <c r="B16" s="3" t="s">
        <v>47</v>
      </c>
      <c r="C16" s="27">
        <f>C17+C18</f>
        <v>8176.3</v>
      </c>
      <c r="D16" s="27">
        <f aca="true" t="shared" si="2" ref="D16:E16">D17+D18</f>
        <v>7918</v>
      </c>
      <c r="E16" s="27">
        <f t="shared" si="2"/>
        <v>7917.7</v>
      </c>
    </row>
    <row r="17" spans="1:5" ht="12.75">
      <c r="A17" s="57" t="s">
        <v>102</v>
      </c>
      <c r="B17" s="51" t="s">
        <v>103</v>
      </c>
      <c r="C17" s="28">
        <f>'№5'!E105</f>
        <v>1540.2</v>
      </c>
      <c r="D17" s="28">
        <f>'№5'!F105</f>
        <v>1383.0000000000002</v>
      </c>
      <c r="E17" s="28">
        <f>'№5'!G105</f>
        <v>1382.7</v>
      </c>
    </row>
    <row r="18" spans="1:5" ht="33">
      <c r="A18" s="34" t="s">
        <v>73</v>
      </c>
      <c r="B18" s="51" t="s">
        <v>20</v>
      </c>
      <c r="C18" s="28">
        <f>'№5'!E113</f>
        <v>6636.1</v>
      </c>
      <c r="D18" s="28">
        <f>'№5'!F113</f>
        <v>6535</v>
      </c>
      <c r="E18" s="28">
        <f>'№5'!G113</f>
        <v>6535</v>
      </c>
    </row>
    <row r="19" spans="1:5" ht="12.75">
      <c r="A19" s="25" t="s">
        <v>83</v>
      </c>
      <c r="B19" s="3" t="s">
        <v>48</v>
      </c>
      <c r="C19" s="27">
        <f>C21+C22+C23+C20</f>
        <v>114715.40000000002</v>
      </c>
      <c r="D19" s="27">
        <f aca="true" t="shared" si="3" ref="D19:E19">D21+D22+D23+D20</f>
        <v>32444.100000000002</v>
      </c>
      <c r="E19" s="27">
        <f t="shared" si="3"/>
        <v>22185.4</v>
      </c>
    </row>
    <row r="20" spans="1:5" ht="19.15" customHeight="1">
      <c r="A20" s="34" t="s">
        <v>551</v>
      </c>
      <c r="B20" s="51" t="s">
        <v>552</v>
      </c>
      <c r="C20" s="28">
        <f>'№5'!E123</f>
        <v>256.6</v>
      </c>
      <c r="D20" s="28">
        <f>'№5'!F123</f>
        <v>176.4</v>
      </c>
      <c r="E20" s="28">
        <f>'№5'!G123</f>
        <v>182.4</v>
      </c>
    </row>
    <row r="21" spans="1:5" ht="12.75">
      <c r="A21" s="57" t="s">
        <v>176</v>
      </c>
      <c r="B21" s="51" t="s">
        <v>177</v>
      </c>
      <c r="C21" s="28">
        <f>'№5'!E129</f>
        <v>395.8</v>
      </c>
      <c r="D21" s="28">
        <f>'№5'!F129</f>
        <v>395.8</v>
      </c>
      <c r="E21" s="28">
        <f>'№5'!G129</f>
        <v>395.8</v>
      </c>
    </row>
    <row r="22" spans="1:5" ht="12.75">
      <c r="A22" s="57" t="s">
        <v>10</v>
      </c>
      <c r="B22" s="51" t="s">
        <v>329</v>
      </c>
      <c r="C22" s="28">
        <f>'№5'!E133</f>
        <v>112527.80000000002</v>
      </c>
      <c r="D22" s="28">
        <f>'№5'!F133</f>
        <v>31128.9</v>
      </c>
      <c r="E22" s="28">
        <f>'№5'!G133</f>
        <v>20859.3</v>
      </c>
    </row>
    <row r="23" spans="1:5" ht="12.75">
      <c r="A23" s="57" t="s">
        <v>74</v>
      </c>
      <c r="B23" s="51" t="s">
        <v>49</v>
      </c>
      <c r="C23" s="28">
        <f>'№5'!E163</f>
        <v>1535.1999999999998</v>
      </c>
      <c r="D23" s="28">
        <f>'№5'!F163</f>
        <v>743</v>
      </c>
      <c r="E23" s="28">
        <f>'№5'!G163</f>
        <v>747.9</v>
      </c>
    </row>
    <row r="24" spans="1:5" ht="12.75">
      <c r="A24" s="25" t="s">
        <v>84</v>
      </c>
      <c r="B24" s="3" t="s">
        <v>50</v>
      </c>
      <c r="C24" s="27">
        <f>C25+C26+C27</f>
        <v>27333.200000000004</v>
      </c>
      <c r="D24" s="27">
        <f aca="true" t="shared" si="4" ref="D24:E24">D25+D26+D27</f>
        <v>24795.9</v>
      </c>
      <c r="E24" s="27">
        <f t="shared" si="4"/>
        <v>16088.4</v>
      </c>
    </row>
    <row r="25" spans="1:5" ht="12.75">
      <c r="A25" s="57" t="s">
        <v>8</v>
      </c>
      <c r="B25" s="51" t="s">
        <v>9</v>
      </c>
      <c r="C25" s="28">
        <f>'№5'!E182</f>
        <v>1524.6</v>
      </c>
      <c r="D25" s="28">
        <f>'№5'!F182</f>
        <v>1435.1</v>
      </c>
      <c r="E25" s="28">
        <f>'№5'!G182</f>
        <v>1435.1</v>
      </c>
    </row>
    <row r="26" spans="1:5" ht="12.75">
      <c r="A26" s="57" t="s">
        <v>75</v>
      </c>
      <c r="B26" s="51" t="s">
        <v>51</v>
      </c>
      <c r="C26" s="28">
        <f>'№5'!E187</f>
        <v>3521</v>
      </c>
      <c r="D26" s="28">
        <f>'№5'!F187</f>
        <v>9000</v>
      </c>
      <c r="E26" s="28">
        <f>'№5'!G187</f>
        <v>0</v>
      </c>
    </row>
    <row r="27" spans="1:5" ht="12.75">
      <c r="A27" s="57" t="s">
        <v>76</v>
      </c>
      <c r="B27" s="51" t="s">
        <v>52</v>
      </c>
      <c r="C27" s="28">
        <f>'№5'!E196</f>
        <v>22287.600000000006</v>
      </c>
      <c r="D27" s="28">
        <f>'№5'!F196</f>
        <v>14360.8</v>
      </c>
      <c r="E27" s="28">
        <f>'№5'!G196</f>
        <v>14653.3</v>
      </c>
    </row>
    <row r="28" spans="1:5" ht="12.75">
      <c r="A28" s="25" t="s">
        <v>62</v>
      </c>
      <c r="B28" s="26" t="s">
        <v>53</v>
      </c>
      <c r="C28" s="27">
        <f>C29+C30+C31+C32+C33</f>
        <v>474532</v>
      </c>
      <c r="D28" s="27">
        <f aca="true" t="shared" si="5" ref="D28:E28">D29+D30+D31+D32+D33</f>
        <v>439427.70000000007</v>
      </c>
      <c r="E28" s="27">
        <f t="shared" si="5"/>
        <v>434067.50000000006</v>
      </c>
    </row>
    <row r="29" spans="1:5" ht="12.75">
      <c r="A29" s="57" t="s">
        <v>77</v>
      </c>
      <c r="B29" s="51" t="s">
        <v>15</v>
      </c>
      <c r="C29" s="28">
        <f>'№5'!E227</f>
        <v>170700.6</v>
      </c>
      <c r="D29" s="28">
        <f>'№5'!F227</f>
        <v>158555.50000000003</v>
      </c>
      <c r="E29" s="28">
        <f>'№5'!G227</f>
        <v>154510.1</v>
      </c>
    </row>
    <row r="30" spans="1:5" ht="12.75">
      <c r="A30" s="57" t="s">
        <v>78</v>
      </c>
      <c r="B30" s="51" t="s">
        <v>16</v>
      </c>
      <c r="C30" s="28">
        <f>'№5'!E248</f>
        <v>236693.5</v>
      </c>
      <c r="D30" s="28">
        <f>'№5'!F248</f>
        <v>224831.00000000003</v>
      </c>
      <c r="E30" s="28">
        <f>'№5'!G248</f>
        <v>224173.80000000002</v>
      </c>
    </row>
    <row r="31" spans="1:5" ht="12.75">
      <c r="A31" s="57" t="s">
        <v>330</v>
      </c>
      <c r="B31" s="51" t="s">
        <v>331</v>
      </c>
      <c r="C31" s="28">
        <f>'№5'!E279</f>
        <v>43737.799999999996</v>
      </c>
      <c r="D31" s="28">
        <f>'№5'!F279</f>
        <v>36780.2</v>
      </c>
      <c r="E31" s="28">
        <f>'№5'!G279</f>
        <v>36284.2</v>
      </c>
    </row>
    <row r="32" spans="1:5" ht="12.75">
      <c r="A32" s="57" t="s">
        <v>63</v>
      </c>
      <c r="B32" s="51" t="s">
        <v>505</v>
      </c>
      <c r="C32" s="28">
        <f>'№5'!E324</f>
        <v>9395.4</v>
      </c>
      <c r="D32" s="28">
        <f>'№5'!F324</f>
        <v>5332.8</v>
      </c>
      <c r="E32" s="28">
        <f>'№5'!G324</f>
        <v>5171.2</v>
      </c>
    </row>
    <row r="33" spans="1:5" ht="12.75">
      <c r="A33" s="57" t="s">
        <v>79</v>
      </c>
      <c r="B33" s="51" t="s">
        <v>17</v>
      </c>
      <c r="C33" s="28">
        <f>'№5'!E353</f>
        <v>14004.699999999997</v>
      </c>
      <c r="D33" s="28">
        <f>'№5'!F353</f>
        <v>13928.199999999999</v>
      </c>
      <c r="E33" s="28">
        <f>'№5'!G353</f>
        <v>13928.199999999999</v>
      </c>
    </row>
    <row r="34" spans="1:5" ht="12.75">
      <c r="A34" s="25" t="s">
        <v>66</v>
      </c>
      <c r="B34" s="3" t="s">
        <v>111</v>
      </c>
      <c r="C34" s="27">
        <f>C35</f>
        <v>27532.999999999993</v>
      </c>
      <c r="D34" s="27">
        <f aca="true" t="shared" si="6" ref="D34:E34">D35</f>
        <v>22473.2</v>
      </c>
      <c r="E34" s="27">
        <f t="shared" si="6"/>
        <v>22485.3</v>
      </c>
    </row>
    <row r="35" spans="1:5" ht="12.75">
      <c r="A35" s="57" t="s">
        <v>67</v>
      </c>
      <c r="B35" s="51" t="s">
        <v>18</v>
      </c>
      <c r="C35" s="28">
        <f>'№5'!E368</f>
        <v>27532.999999999993</v>
      </c>
      <c r="D35" s="28">
        <f>'№5'!F368</f>
        <v>22473.2</v>
      </c>
      <c r="E35" s="28">
        <f>'№5'!G368</f>
        <v>22485.3</v>
      </c>
    </row>
    <row r="36" spans="1:5" ht="12.75">
      <c r="A36" s="25" t="s">
        <v>64</v>
      </c>
      <c r="B36" s="3" t="s">
        <v>56</v>
      </c>
      <c r="C36" s="27">
        <f>C37+C38+C39</f>
        <v>19970.4</v>
      </c>
      <c r="D36" s="27">
        <f aca="true" t="shared" si="7" ref="D36:E36">D37+D38+D39</f>
        <v>19891.4</v>
      </c>
      <c r="E36" s="27">
        <f t="shared" si="7"/>
        <v>18870.9</v>
      </c>
    </row>
    <row r="37" spans="1:5" ht="12.75">
      <c r="A37" s="57" t="s">
        <v>80</v>
      </c>
      <c r="B37" s="51" t="s">
        <v>57</v>
      </c>
      <c r="C37" s="28">
        <f>'№5'!E413</f>
        <v>1313.3</v>
      </c>
      <c r="D37" s="28">
        <f>'№5'!F413</f>
        <v>1773.5</v>
      </c>
      <c r="E37" s="28">
        <f>'№5'!G413</f>
        <v>1773.5</v>
      </c>
    </row>
    <row r="38" spans="1:5" ht="12.75">
      <c r="A38" s="57" t="s">
        <v>65</v>
      </c>
      <c r="B38" s="51" t="s">
        <v>59</v>
      </c>
      <c r="C38" s="28">
        <f>'№5'!E419</f>
        <v>4234.8</v>
      </c>
      <c r="D38" s="28">
        <f>'№5'!F419</f>
        <v>2625</v>
      </c>
      <c r="E38" s="28">
        <f>'№5'!G419</f>
        <v>2675.1</v>
      </c>
    </row>
    <row r="39" spans="1:5" ht="12.75">
      <c r="A39" s="57" t="s">
        <v>126</v>
      </c>
      <c r="B39" s="51" t="s">
        <v>127</v>
      </c>
      <c r="C39" s="28">
        <f>'№5'!E436</f>
        <v>14422.300000000001</v>
      </c>
      <c r="D39" s="28">
        <f>'№5'!F436</f>
        <v>15492.900000000001</v>
      </c>
      <c r="E39" s="28">
        <f>'№5'!G436</f>
        <v>14422.300000000001</v>
      </c>
    </row>
    <row r="40" spans="1:5" ht="12.75">
      <c r="A40" s="25" t="s">
        <v>88</v>
      </c>
      <c r="B40" s="3" t="s">
        <v>55</v>
      </c>
      <c r="C40" s="27">
        <f>C41+C42</f>
        <v>16791.899999999998</v>
      </c>
      <c r="D40" s="27">
        <f aca="true" t="shared" si="8" ref="D40:E40">D41+D42</f>
        <v>13457.1</v>
      </c>
      <c r="E40" s="27">
        <f t="shared" si="8"/>
        <v>13503.7</v>
      </c>
    </row>
    <row r="41" spans="1:5" ht="12.75">
      <c r="A41" s="57" t="s">
        <v>141</v>
      </c>
      <c r="B41" s="51" t="s">
        <v>89</v>
      </c>
      <c r="C41" s="28">
        <f>'№5'!E447</f>
        <v>14381.699999999997</v>
      </c>
      <c r="D41" s="28">
        <f>'№5'!F447</f>
        <v>11167.6</v>
      </c>
      <c r="E41" s="28">
        <f>'№5'!G447</f>
        <v>11214.2</v>
      </c>
    </row>
    <row r="42" spans="1:5" ht="12.75">
      <c r="A42" s="57" t="s">
        <v>145</v>
      </c>
      <c r="B42" s="51" t="s">
        <v>0</v>
      </c>
      <c r="C42" s="28">
        <f>'№5'!E462</f>
        <v>2410.2</v>
      </c>
      <c r="D42" s="28">
        <f>'№5'!F462</f>
        <v>2289.5</v>
      </c>
      <c r="E42" s="28">
        <f>'№5'!G462</f>
        <v>2289.5</v>
      </c>
    </row>
    <row r="43" spans="1:5" ht="12.75">
      <c r="A43" s="25" t="s">
        <v>332</v>
      </c>
      <c r="B43" s="3" t="s">
        <v>90</v>
      </c>
      <c r="C43" s="27">
        <f>C44</f>
        <v>2554.5</v>
      </c>
      <c r="D43" s="27">
        <f aca="true" t="shared" si="9" ref="D43:E43">D44</f>
        <v>2110</v>
      </c>
      <c r="E43" s="27">
        <f t="shared" si="9"/>
        <v>2152.2</v>
      </c>
    </row>
    <row r="44" spans="1:5" ht="12.75">
      <c r="A44" s="57" t="s">
        <v>91</v>
      </c>
      <c r="B44" s="51" t="s">
        <v>92</v>
      </c>
      <c r="C44" s="28">
        <f>'№5'!E470</f>
        <v>2554.5</v>
      </c>
      <c r="D44" s="28">
        <f>'№5'!F470</f>
        <v>2110</v>
      </c>
      <c r="E44" s="28">
        <f>'№5'!G470</f>
        <v>2152.2</v>
      </c>
    </row>
    <row r="45" spans="1:5" ht="12.75">
      <c r="A45" s="25" t="s">
        <v>333</v>
      </c>
      <c r="B45" s="3" t="s">
        <v>504</v>
      </c>
      <c r="C45" s="27">
        <f>C46</f>
        <v>525.5</v>
      </c>
      <c r="D45" s="27">
        <f aca="true" t="shared" si="10" ref="D45:E45">D46</f>
        <v>237.3</v>
      </c>
      <c r="E45" s="27">
        <f t="shared" si="10"/>
        <v>0</v>
      </c>
    </row>
    <row r="46" spans="1:5" ht="22.5" customHeight="1">
      <c r="A46" s="57" t="s">
        <v>334</v>
      </c>
      <c r="B46" s="51" t="s">
        <v>335</v>
      </c>
      <c r="C46" s="28">
        <f>'№5'!E482</f>
        <v>525.5</v>
      </c>
      <c r="D46" s="28">
        <f>'№5'!F482</f>
        <v>237.3</v>
      </c>
      <c r="E46" s="28">
        <f>'№5'!G482</f>
        <v>0</v>
      </c>
    </row>
  </sheetData>
  <mergeCells count="7">
    <mergeCell ref="B3:B5"/>
    <mergeCell ref="C4:C5"/>
    <mergeCell ref="A1:E1"/>
    <mergeCell ref="A2:E2"/>
    <mergeCell ref="A3:A5"/>
    <mergeCell ref="C3:E3"/>
    <mergeCell ref="D4:E4"/>
  </mergeCells>
  <printOptions/>
  <pageMargins left="0.5905511811023623" right="0.3937007874015748" top="0.1968503937007874" bottom="0.1968503937007874" header="0.31496062992125984" footer="0.31496062992125984"/>
  <pageSetup fitToHeight="0"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H579"/>
  <sheetViews>
    <sheetView view="pageBreakPreview" zoomScale="76" zoomScaleSheetLayoutView="76" workbookViewId="0" topLeftCell="A1">
      <selection activeCell="E576" sqref="E576"/>
    </sheetView>
  </sheetViews>
  <sheetFormatPr defaultColWidth="8.875" defaultRowHeight="12.75"/>
  <cols>
    <col min="1" max="1" width="6.25390625" style="59" customWidth="1"/>
    <col min="2" max="2" width="7.875" style="86" customWidth="1"/>
    <col min="3" max="3" width="16.75390625" style="59" customWidth="1"/>
    <col min="4" max="4" width="5.75390625" style="59" customWidth="1"/>
    <col min="5" max="5" width="57.00390625" style="71" customWidth="1"/>
    <col min="6" max="6" width="11.625" style="59" customWidth="1"/>
    <col min="7" max="7" width="13.25390625" style="59" customWidth="1"/>
    <col min="8" max="8" width="15.25390625" style="59" customWidth="1"/>
    <col min="9" max="10" width="8.875" style="59" customWidth="1"/>
    <col min="11" max="11" width="13.25390625" style="59" bestFit="1" customWidth="1"/>
    <col min="12" max="16384" width="8.875" style="59" customWidth="1"/>
  </cols>
  <sheetData>
    <row r="1" spans="1:8" ht="51.75" customHeight="1">
      <c r="A1" s="58" t="s">
        <v>93</v>
      </c>
      <c r="B1" s="207" t="s">
        <v>996</v>
      </c>
      <c r="C1" s="207"/>
      <c r="D1" s="207"/>
      <c r="E1" s="207"/>
      <c r="F1" s="207"/>
      <c r="G1" s="207"/>
      <c r="H1" s="207"/>
    </row>
    <row r="2" spans="1:8" ht="39.75" customHeight="1">
      <c r="A2" s="208" t="s">
        <v>336</v>
      </c>
      <c r="B2" s="208"/>
      <c r="C2" s="208"/>
      <c r="D2" s="208"/>
      <c r="E2" s="208"/>
      <c r="F2" s="208"/>
      <c r="G2" s="208"/>
      <c r="H2" s="208"/>
    </row>
    <row r="3" spans="1:8" ht="12.75">
      <c r="A3" s="226" t="s">
        <v>21</v>
      </c>
      <c r="B3" s="226" t="s">
        <v>61</v>
      </c>
      <c r="C3" s="226" t="s">
        <v>22</v>
      </c>
      <c r="D3" s="226" t="s">
        <v>23</v>
      </c>
      <c r="E3" s="227" t="s">
        <v>24</v>
      </c>
      <c r="F3" s="226" t="s">
        <v>311</v>
      </c>
      <c r="G3" s="226"/>
      <c r="H3" s="226"/>
    </row>
    <row r="4" spans="1:8" ht="12.75">
      <c r="A4" s="226" t="s">
        <v>93</v>
      </c>
      <c r="B4" s="226" t="s">
        <v>93</v>
      </c>
      <c r="C4" s="226" t="s">
        <v>93</v>
      </c>
      <c r="D4" s="226" t="s">
        <v>93</v>
      </c>
      <c r="E4" s="227" t="s">
        <v>93</v>
      </c>
      <c r="F4" s="226" t="s">
        <v>318</v>
      </c>
      <c r="G4" s="226" t="s">
        <v>328</v>
      </c>
      <c r="H4" s="226"/>
    </row>
    <row r="5" spans="1:8" ht="12.75">
      <c r="A5" s="226" t="s">
        <v>93</v>
      </c>
      <c r="B5" s="226" t="s">
        <v>93</v>
      </c>
      <c r="C5" s="226" t="s">
        <v>93</v>
      </c>
      <c r="D5" s="226" t="s">
        <v>93</v>
      </c>
      <c r="E5" s="227" t="s">
        <v>93</v>
      </c>
      <c r="F5" s="226" t="s">
        <v>93</v>
      </c>
      <c r="G5" s="67" t="s">
        <v>319</v>
      </c>
      <c r="H5" s="67" t="s">
        <v>320</v>
      </c>
    </row>
    <row r="6" spans="1:8" ht="12.75">
      <c r="A6" s="67" t="s">
        <v>6</v>
      </c>
      <c r="B6" s="67" t="s">
        <v>104</v>
      </c>
      <c r="C6" s="67" t="s">
        <v>105</v>
      </c>
      <c r="D6" s="67" t="s">
        <v>106</v>
      </c>
      <c r="E6" s="67" t="s">
        <v>107</v>
      </c>
      <c r="F6" s="67" t="s">
        <v>108</v>
      </c>
      <c r="G6" s="67" t="s">
        <v>337</v>
      </c>
      <c r="H6" s="67" t="s">
        <v>338</v>
      </c>
    </row>
    <row r="7" spans="1:8" ht="12.75">
      <c r="A7" s="228" t="s">
        <v>93</v>
      </c>
      <c r="B7" s="228" t="s">
        <v>93</v>
      </c>
      <c r="C7" s="228" t="s">
        <v>93</v>
      </c>
      <c r="D7" s="228" t="s">
        <v>93</v>
      </c>
      <c r="E7" s="229" t="s">
        <v>1</v>
      </c>
      <c r="F7" s="230">
        <f>F8+F297+F329+F365+F378+F469</f>
        <v>756431.3999999999</v>
      </c>
      <c r="G7" s="230">
        <f>G8+G297+G329+G365+G378+G469</f>
        <v>624418.9000000001</v>
      </c>
      <c r="H7" s="230">
        <f>H8+H297+H329+H365+H378+H469</f>
        <v>598970.5</v>
      </c>
    </row>
    <row r="8" spans="1:8" ht="33">
      <c r="A8" s="228" t="s">
        <v>25</v>
      </c>
      <c r="B8" s="67" t="s">
        <v>93</v>
      </c>
      <c r="C8" s="231" t="s">
        <v>93</v>
      </c>
      <c r="D8" s="231" t="s">
        <v>93</v>
      </c>
      <c r="E8" s="229" t="s">
        <v>112</v>
      </c>
      <c r="F8" s="230">
        <f>F9+F73+F93+F152+F195+F214+F262+F284</f>
        <v>236872.69999999998</v>
      </c>
      <c r="G8" s="230">
        <f>G9+G73+G93+G152+G195+G214+G262+G284</f>
        <v>143873.00000000003</v>
      </c>
      <c r="H8" s="230">
        <f>H9+H73+H93+H152+H195+H214+H262+H284</f>
        <v>124979.40000000001</v>
      </c>
    </row>
    <row r="9" spans="1:8" ht="12.75">
      <c r="A9" s="67" t="s">
        <v>25</v>
      </c>
      <c r="B9" s="67" t="s">
        <v>81</v>
      </c>
      <c r="C9" s="67" t="s">
        <v>93</v>
      </c>
      <c r="D9" s="67" t="s">
        <v>93</v>
      </c>
      <c r="E9" s="14" t="s">
        <v>26</v>
      </c>
      <c r="F9" s="69">
        <f>F10+F16+F34+F29</f>
        <v>39436.6</v>
      </c>
      <c r="G9" s="69">
        <f>G10+G16+G34+G29</f>
        <v>38271.299999999996</v>
      </c>
      <c r="H9" s="69">
        <f>H10+H16+H34+H29</f>
        <v>38283.299999999996</v>
      </c>
    </row>
    <row r="10" spans="1:8" ht="49.5">
      <c r="A10" s="67" t="s">
        <v>25</v>
      </c>
      <c r="B10" s="67" t="s">
        <v>68</v>
      </c>
      <c r="C10" s="67" t="s">
        <v>93</v>
      </c>
      <c r="D10" s="67" t="s">
        <v>93</v>
      </c>
      <c r="E10" s="5" t="s">
        <v>86</v>
      </c>
      <c r="F10" s="69">
        <f>F11</f>
        <v>1589.9</v>
      </c>
      <c r="G10" s="69">
        <f aca="true" t="shared" si="0" ref="G10:H14">G11</f>
        <v>1479</v>
      </c>
      <c r="H10" s="69">
        <f t="shared" si="0"/>
        <v>1479</v>
      </c>
    </row>
    <row r="11" spans="1:8" ht="66">
      <c r="A11" s="67" t="s">
        <v>25</v>
      </c>
      <c r="B11" s="67" t="s">
        <v>68</v>
      </c>
      <c r="C11" s="67" t="s">
        <v>200</v>
      </c>
      <c r="D11" s="67" t="s">
        <v>93</v>
      </c>
      <c r="E11" s="68" t="s">
        <v>339</v>
      </c>
      <c r="F11" s="69">
        <f>F12</f>
        <v>1589.9</v>
      </c>
      <c r="G11" s="69">
        <f t="shared" si="0"/>
        <v>1479</v>
      </c>
      <c r="H11" s="69">
        <f t="shared" si="0"/>
        <v>1479</v>
      </c>
    </row>
    <row r="12" spans="1:8" ht="12.75">
      <c r="A12" s="67" t="s">
        <v>25</v>
      </c>
      <c r="B12" s="67" t="s">
        <v>68</v>
      </c>
      <c r="C12" s="67" t="s">
        <v>201</v>
      </c>
      <c r="D12" s="67" t="s">
        <v>93</v>
      </c>
      <c r="E12" s="68" t="s">
        <v>2</v>
      </c>
      <c r="F12" s="69">
        <f>F13</f>
        <v>1589.9</v>
      </c>
      <c r="G12" s="69">
        <f t="shared" si="0"/>
        <v>1479</v>
      </c>
      <c r="H12" s="69">
        <f t="shared" si="0"/>
        <v>1479</v>
      </c>
    </row>
    <row r="13" spans="1:8" ht="33">
      <c r="A13" s="67" t="s">
        <v>25</v>
      </c>
      <c r="B13" s="67" t="s">
        <v>68</v>
      </c>
      <c r="C13" s="67" t="s">
        <v>340</v>
      </c>
      <c r="D13" s="231" t="s">
        <v>93</v>
      </c>
      <c r="E13" s="68" t="s">
        <v>341</v>
      </c>
      <c r="F13" s="69">
        <f>F14</f>
        <v>1589.9</v>
      </c>
      <c r="G13" s="69">
        <f t="shared" si="0"/>
        <v>1479</v>
      </c>
      <c r="H13" s="69">
        <f t="shared" si="0"/>
        <v>1479</v>
      </c>
    </row>
    <row r="14" spans="1:8" ht="12.75">
      <c r="A14" s="67" t="s">
        <v>25</v>
      </c>
      <c r="B14" s="67" t="s">
        <v>68</v>
      </c>
      <c r="C14" s="67" t="s">
        <v>202</v>
      </c>
      <c r="D14" s="67" t="s">
        <v>93</v>
      </c>
      <c r="E14" s="68" t="s">
        <v>43</v>
      </c>
      <c r="F14" s="69">
        <f>F15</f>
        <v>1589.9</v>
      </c>
      <c r="G14" s="69">
        <f t="shared" si="0"/>
        <v>1479</v>
      </c>
      <c r="H14" s="69">
        <f t="shared" si="0"/>
        <v>1479</v>
      </c>
    </row>
    <row r="15" spans="1:8" ht="82.5">
      <c r="A15" s="67" t="s">
        <v>25</v>
      </c>
      <c r="B15" s="67" t="s">
        <v>68</v>
      </c>
      <c r="C15" s="67" t="s">
        <v>202</v>
      </c>
      <c r="D15" s="67" t="s">
        <v>95</v>
      </c>
      <c r="E15" s="68" t="s">
        <v>3</v>
      </c>
      <c r="F15" s="69">
        <f>1479+17.8+108.2-15.1</f>
        <v>1589.9</v>
      </c>
      <c r="G15" s="69">
        <v>1479</v>
      </c>
      <c r="H15" s="69">
        <v>1479</v>
      </c>
    </row>
    <row r="16" spans="1:8" ht="66">
      <c r="A16" s="67" t="s">
        <v>25</v>
      </c>
      <c r="B16" s="67" t="s">
        <v>70</v>
      </c>
      <c r="C16" s="67" t="s">
        <v>93</v>
      </c>
      <c r="D16" s="67" t="s">
        <v>93</v>
      </c>
      <c r="E16" s="68" t="s">
        <v>45</v>
      </c>
      <c r="F16" s="69">
        <f>F17</f>
        <v>35722.5</v>
      </c>
      <c r="G16" s="69">
        <f aca="true" t="shared" si="1" ref="G16:H16">G17</f>
        <v>35825.1</v>
      </c>
      <c r="H16" s="69">
        <f t="shared" si="1"/>
        <v>35825.1</v>
      </c>
    </row>
    <row r="17" spans="1:8" ht="66">
      <c r="A17" s="67" t="s">
        <v>25</v>
      </c>
      <c r="B17" s="67" t="s">
        <v>70</v>
      </c>
      <c r="C17" s="67" t="s">
        <v>200</v>
      </c>
      <c r="D17" s="67" t="s">
        <v>93</v>
      </c>
      <c r="E17" s="68" t="s">
        <v>339</v>
      </c>
      <c r="F17" s="69">
        <f>F18</f>
        <v>35722.5</v>
      </c>
      <c r="G17" s="69">
        <f aca="true" t="shared" si="2" ref="G17:H18">G18</f>
        <v>35825.1</v>
      </c>
      <c r="H17" s="69">
        <f t="shared" si="2"/>
        <v>35825.1</v>
      </c>
    </row>
    <row r="18" spans="1:8" ht="12.75">
      <c r="A18" s="67" t="s">
        <v>25</v>
      </c>
      <c r="B18" s="67" t="s">
        <v>70</v>
      </c>
      <c r="C18" s="67" t="s">
        <v>201</v>
      </c>
      <c r="D18" s="67" t="s">
        <v>93</v>
      </c>
      <c r="E18" s="68" t="s">
        <v>2</v>
      </c>
      <c r="F18" s="69">
        <f>F19</f>
        <v>35722.5</v>
      </c>
      <c r="G18" s="69">
        <f t="shared" si="2"/>
        <v>35825.1</v>
      </c>
      <c r="H18" s="69">
        <f t="shared" si="2"/>
        <v>35825.1</v>
      </c>
    </row>
    <row r="19" spans="1:8" ht="33">
      <c r="A19" s="67" t="s">
        <v>25</v>
      </c>
      <c r="B19" s="67" t="s">
        <v>70</v>
      </c>
      <c r="C19" s="67" t="s">
        <v>340</v>
      </c>
      <c r="D19" s="231" t="s">
        <v>93</v>
      </c>
      <c r="E19" s="68" t="s">
        <v>341</v>
      </c>
      <c r="F19" s="69">
        <f>F20+F23+F27</f>
        <v>35722.5</v>
      </c>
      <c r="G19" s="69">
        <f aca="true" t="shared" si="3" ref="G19:H19">G20+G23+G27</f>
        <v>35825.1</v>
      </c>
      <c r="H19" s="69">
        <f t="shared" si="3"/>
        <v>35825.1</v>
      </c>
    </row>
    <row r="20" spans="1:8" ht="66">
      <c r="A20" s="67" t="s">
        <v>25</v>
      </c>
      <c r="B20" s="67" t="s">
        <v>70</v>
      </c>
      <c r="C20" s="67" t="s">
        <v>205</v>
      </c>
      <c r="D20" s="67" t="s">
        <v>93</v>
      </c>
      <c r="E20" s="68" t="s">
        <v>315</v>
      </c>
      <c r="F20" s="69">
        <f>F21+F22</f>
        <v>650</v>
      </c>
      <c r="G20" s="69">
        <f aca="true" t="shared" si="4" ref="G20:H20">G21+G22</f>
        <v>650</v>
      </c>
      <c r="H20" s="69">
        <f t="shared" si="4"/>
        <v>650</v>
      </c>
    </row>
    <row r="21" spans="1:8" ht="82.5">
      <c r="A21" s="67" t="s">
        <v>25</v>
      </c>
      <c r="B21" s="67" t="s">
        <v>70</v>
      </c>
      <c r="C21" s="67" t="s">
        <v>205</v>
      </c>
      <c r="D21" s="67" t="s">
        <v>95</v>
      </c>
      <c r="E21" s="68" t="s">
        <v>3</v>
      </c>
      <c r="F21" s="69">
        <v>592.3</v>
      </c>
      <c r="G21" s="69">
        <v>592.3</v>
      </c>
      <c r="H21" s="69">
        <v>592.3</v>
      </c>
    </row>
    <row r="22" spans="1:8" ht="33">
      <c r="A22" s="67" t="s">
        <v>25</v>
      </c>
      <c r="B22" s="67" t="s">
        <v>70</v>
      </c>
      <c r="C22" s="67" t="s">
        <v>205</v>
      </c>
      <c r="D22" s="67" t="s">
        <v>96</v>
      </c>
      <c r="E22" s="68" t="s">
        <v>342</v>
      </c>
      <c r="F22" s="69">
        <v>57.7</v>
      </c>
      <c r="G22" s="69">
        <v>57.7</v>
      </c>
      <c r="H22" s="69">
        <v>57.7</v>
      </c>
    </row>
    <row r="23" spans="1:8" ht="82.5">
      <c r="A23" s="67" t="s">
        <v>25</v>
      </c>
      <c r="B23" s="67" t="s">
        <v>70</v>
      </c>
      <c r="C23" s="67" t="s">
        <v>203</v>
      </c>
      <c r="D23" s="67" t="s">
        <v>93</v>
      </c>
      <c r="E23" s="68" t="s">
        <v>343</v>
      </c>
      <c r="F23" s="69">
        <f>F24+F25+F26</f>
        <v>35001.4</v>
      </c>
      <c r="G23" s="69">
        <f aca="true" t="shared" si="5" ref="G23:H23">G24+G25+G26</f>
        <v>35104</v>
      </c>
      <c r="H23" s="69">
        <f t="shared" si="5"/>
        <v>35104</v>
      </c>
    </row>
    <row r="24" spans="1:8" ht="82.5">
      <c r="A24" s="67" t="s">
        <v>25</v>
      </c>
      <c r="B24" s="67" t="s">
        <v>70</v>
      </c>
      <c r="C24" s="67" t="s">
        <v>203</v>
      </c>
      <c r="D24" s="67" t="s">
        <v>95</v>
      </c>
      <c r="E24" s="68" t="s">
        <v>3</v>
      </c>
      <c r="F24" s="69">
        <f>30511.6-17.8-414.2+47.4</f>
        <v>30127</v>
      </c>
      <c r="G24" s="69">
        <v>30511.6</v>
      </c>
      <c r="H24" s="69">
        <v>30511.6</v>
      </c>
    </row>
    <row r="25" spans="1:8" ht="33">
      <c r="A25" s="67" t="s">
        <v>25</v>
      </c>
      <c r="B25" s="67" t="s">
        <v>70</v>
      </c>
      <c r="C25" s="67" t="s">
        <v>203</v>
      </c>
      <c r="D25" s="67" t="s">
        <v>96</v>
      </c>
      <c r="E25" s="68" t="s">
        <v>342</v>
      </c>
      <c r="F25" s="69">
        <f>4485.1+112+100+100-30</f>
        <v>4767.1</v>
      </c>
      <c r="G25" s="69">
        <v>4485.1</v>
      </c>
      <c r="H25" s="69">
        <v>4485.1</v>
      </c>
    </row>
    <row r="26" spans="1:8" ht="12.75">
      <c r="A26" s="67" t="s">
        <v>25</v>
      </c>
      <c r="B26" s="67" t="s">
        <v>70</v>
      </c>
      <c r="C26" s="67" t="s">
        <v>203</v>
      </c>
      <c r="D26" s="67" t="s">
        <v>97</v>
      </c>
      <c r="E26" s="68" t="s">
        <v>98</v>
      </c>
      <c r="F26" s="69">
        <v>107.3</v>
      </c>
      <c r="G26" s="69">
        <v>107.3</v>
      </c>
      <c r="H26" s="69">
        <v>107.3</v>
      </c>
    </row>
    <row r="27" spans="1:8" ht="66">
      <c r="A27" s="67" t="s">
        <v>25</v>
      </c>
      <c r="B27" s="67" t="s">
        <v>70</v>
      </c>
      <c r="C27" s="67" t="s">
        <v>204</v>
      </c>
      <c r="D27" s="67" t="s">
        <v>93</v>
      </c>
      <c r="E27" s="68" t="s">
        <v>344</v>
      </c>
      <c r="F27" s="69">
        <f>F28</f>
        <v>71.1</v>
      </c>
      <c r="G27" s="69">
        <f aca="true" t="shared" si="6" ref="G27:H27">G28</f>
        <v>71.1</v>
      </c>
      <c r="H27" s="69">
        <f t="shared" si="6"/>
        <v>71.1</v>
      </c>
    </row>
    <row r="28" spans="1:8" ht="82.5">
      <c r="A28" s="67" t="s">
        <v>25</v>
      </c>
      <c r="B28" s="67" t="s">
        <v>70</v>
      </c>
      <c r="C28" s="67" t="s">
        <v>204</v>
      </c>
      <c r="D28" s="67" t="s">
        <v>95</v>
      </c>
      <c r="E28" s="68" t="s">
        <v>3</v>
      </c>
      <c r="F28" s="69">
        <v>71.1</v>
      </c>
      <c r="G28" s="69">
        <v>71.1</v>
      </c>
      <c r="H28" s="69">
        <v>71.1</v>
      </c>
    </row>
    <row r="29" spans="1:8" ht="12.75">
      <c r="A29" s="67" t="s">
        <v>25</v>
      </c>
      <c r="B29" s="15" t="s">
        <v>560</v>
      </c>
      <c r="C29" s="4"/>
      <c r="D29" s="180"/>
      <c r="E29" s="5" t="s">
        <v>561</v>
      </c>
      <c r="F29" s="69">
        <f>F30</f>
        <v>280</v>
      </c>
      <c r="G29" s="69">
        <f aca="true" t="shared" si="7" ref="G29:H32">G30</f>
        <v>0</v>
      </c>
      <c r="H29" s="69">
        <f t="shared" si="7"/>
        <v>0</v>
      </c>
    </row>
    <row r="30" spans="1:8" ht="33">
      <c r="A30" s="67" t="s">
        <v>25</v>
      </c>
      <c r="B30" s="15" t="s">
        <v>560</v>
      </c>
      <c r="C30" s="67" t="s">
        <v>312</v>
      </c>
      <c r="D30" s="67" t="s">
        <v>93</v>
      </c>
      <c r="E30" s="68" t="s">
        <v>429</v>
      </c>
      <c r="F30" s="69">
        <f>F31</f>
        <v>280</v>
      </c>
      <c r="G30" s="69">
        <f t="shared" si="7"/>
        <v>0</v>
      </c>
      <c r="H30" s="69">
        <f t="shared" si="7"/>
        <v>0</v>
      </c>
    </row>
    <row r="31" spans="1:8" ht="49.5">
      <c r="A31" s="67" t="s">
        <v>25</v>
      </c>
      <c r="B31" s="15" t="s">
        <v>560</v>
      </c>
      <c r="C31" s="31">
        <v>9940000000</v>
      </c>
      <c r="D31" s="180"/>
      <c r="E31" s="5" t="s">
        <v>437</v>
      </c>
      <c r="F31" s="69">
        <f>F32</f>
        <v>280</v>
      </c>
      <c r="G31" s="69">
        <f t="shared" si="7"/>
        <v>0</v>
      </c>
      <c r="H31" s="69">
        <f t="shared" si="7"/>
        <v>0</v>
      </c>
    </row>
    <row r="32" spans="1:8" ht="33">
      <c r="A32" s="67" t="s">
        <v>25</v>
      </c>
      <c r="B32" s="15" t="s">
        <v>560</v>
      </c>
      <c r="C32" s="67" t="s">
        <v>562</v>
      </c>
      <c r="D32" s="67"/>
      <c r="E32" s="68" t="s">
        <v>563</v>
      </c>
      <c r="F32" s="69">
        <f>F33</f>
        <v>280</v>
      </c>
      <c r="G32" s="69">
        <f t="shared" si="7"/>
        <v>0</v>
      </c>
      <c r="H32" s="69">
        <f t="shared" si="7"/>
        <v>0</v>
      </c>
    </row>
    <row r="33" spans="1:8" ht="12.75">
      <c r="A33" s="67" t="s">
        <v>25</v>
      </c>
      <c r="B33" s="15" t="s">
        <v>560</v>
      </c>
      <c r="C33" s="67" t="s">
        <v>562</v>
      </c>
      <c r="D33" s="67" t="s">
        <v>97</v>
      </c>
      <c r="E33" s="68" t="s">
        <v>98</v>
      </c>
      <c r="F33" s="69">
        <v>280</v>
      </c>
      <c r="G33" s="69">
        <v>0</v>
      </c>
      <c r="H33" s="69">
        <v>0</v>
      </c>
    </row>
    <row r="34" spans="1:8" ht="12.75">
      <c r="A34" s="67" t="s">
        <v>25</v>
      </c>
      <c r="B34" s="67" t="s">
        <v>87</v>
      </c>
      <c r="C34" s="67" t="s">
        <v>93</v>
      </c>
      <c r="D34" s="67" t="s">
        <v>93</v>
      </c>
      <c r="E34" s="68" t="s">
        <v>46</v>
      </c>
      <c r="F34" s="69">
        <f>F35+F69</f>
        <v>1844.2</v>
      </c>
      <c r="G34" s="69">
        <f aca="true" t="shared" si="8" ref="G34:H34">G35+G69</f>
        <v>967.2</v>
      </c>
      <c r="H34" s="69">
        <f t="shared" si="8"/>
        <v>979.2</v>
      </c>
    </row>
    <row r="35" spans="1:8" ht="66">
      <c r="A35" s="67" t="s">
        <v>25</v>
      </c>
      <c r="B35" s="67" t="s">
        <v>87</v>
      </c>
      <c r="C35" s="67" t="s">
        <v>200</v>
      </c>
      <c r="D35" s="67" t="s">
        <v>93</v>
      </c>
      <c r="E35" s="68" t="s">
        <v>339</v>
      </c>
      <c r="F35" s="69">
        <f>F36+F42+F49+F55+F60</f>
        <v>1714.1000000000001</v>
      </c>
      <c r="G35" s="69">
        <f aca="true" t="shared" si="9" ref="G35:H35">G36+G42+G49+G55+G60</f>
        <v>967.2</v>
      </c>
      <c r="H35" s="69">
        <f t="shared" si="9"/>
        <v>979.2</v>
      </c>
    </row>
    <row r="36" spans="1:8" ht="66">
      <c r="A36" s="67" t="s">
        <v>25</v>
      </c>
      <c r="B36" s="67" t="s">
        <v>87</v>
      </c>
      <c r="C36" s="67" t="s">
        <v>206</v>
      </c>
      <c r="D36" s="67" t="s">
        <v>93</v>
      </c>
      <c r="E36" s="68" t="s">
        <v>345</v>
      </c>
      <c r="F36" s="69">
        <f>F37</f>
        <v>1069.7</v>
      </c>
      <c r="G36" s="69">
        <f aca="true" t="shared" si="10" ref="G36:H36">G37</f>
        <v>421.9</v>
      </c>
      <c r="H36" s="69">
        <f t="shared" si="10"/>
        <v>428.5</v>
      </c>
    </row>
    <row r="37" spans="1:8" ht="49.5">
      <c r="A37" s="67" t="s">
        <v>25</v>
      </c>
      <c r="B37" s="67" t="s">
        <v>87</v>
      </c>
      <c r="C37" s="67" t="s">
        <v>346</v>
      </c>
      <c r="D37" s="231" t="s">
        <v>93</v>
      </c>
      <c r="E37" s="68" t="s">
        <v>347</v>
      </c>
      <c r="F37" s="69">
        <f>F38+F40</f>
        <v>1069.7</v>
      </c>
      <c r="G37" s="69">
        <f aca="true" t="shared" si="11" ref="G37:H37">G38+G40</f>
        <v>421.9</v>
      </c>
      <c r="H37" s="69">
        <f t="shared" si="11"/>
        <v>428.5</v>
      </c>
    </row>
    <row r="38" spans="1:8" ht="33">
      <c r="A38" s="67" t="s">
        <v>25</v>
      </c>
      <c r="B38" s="67" t="s">
        <v>87</v>
      </c>
      <c r="C38" s="67" t="s">
        <v>207</v>
      </c>
      <c r="D38" s="67" t="s">
        <v>93</v>
      </c>
      <c r="E38" s="68" t="s">
        <v>157</v>
      </c>
      <c r="F38" s="69">
        <f>F39</f>
        <v>615.4</v>
      </c>
      <c r="G38" s="69">
        <f aca="true" t="shared" si="12" ref="G38:H38">G39</f>
        <v>421.9</v>
      </c>
      <c r="H38" s="69">
        <f t="shared" si="12"/>
        <v>428.5</v>
      </c>
    </row>
    <row r="39" spans="1:8" ht="33">
      <c r="A39" s="67" t="s">
        <v>25</v>
      </c>
      <c r="B39" s="67" t="s">
        <v>87</v>
      </c>
      <c r="C39" s="67" t="s">
        <v>207</v>
      </c>
      <c r="D39" s="67" t="s">
        <v>96</v>
      </c>
      <c r="E39" s="68" t="s">
        <v>342</v>
      </c>
      <c r="F39" s="69">
        <f>415.4+100+30+70</f>
        <v>615.4</v>
      </c>
      <c r="G39" s="69">
        <v>421.9</v>
      </c>
      <c r="H39" s="69">
        <v>428.5</v>
      </c>
    </row>
    <row r="40" spans="1:8" ht="49.5">
      <c r="A40" s="67" t="s">
        <v>25</v>
      </c>
      <c r="B40" s="67" t="s">
        <v>87</v>
      </c>
      <c r="C40" s="67" t="s">
        <v>348</v>
      </c>
      <c r="D40" s="67" t="s">
        <v>93</v>
      </c>
      <c r="E40" s="68" t="s">
        <v>349</v>
      </c>
      <c r="F40" s="69">
        <f>F41</f>
        <v>454.30000000000007</v>
      </c>
      <c r="G40" s="69">
        <f aca="true" t="shared" si="13" ref="G40:H40">G41</f>
        <v>0</v>
      </c>
      <c r="H40" s="69">
        <f t="shared" si="13"/>
        <v>0</v>
      </c>
    </row>
    <row r="41" spans="1:8" ht="33">
      <c r="A41" s="67" t="s">
        <v>25</v>
      </c>
      <c r="B41" s="67" t="s">
        <v>87</v>
      </c>
      <c r="C41" s="67" t="s">
        <v>348</v>
      </c>
      <c r="D41" s="67" t="s">
        <v>96</v>
      </c>
      <c r="E41" s="68" t="s">
        <v>342</v>
      </c>
      <c r="F41" s="69">
        <f>666.7-212.4</f>
        <v>454.30000000000007</v>
      </c>
      <c r="G41" s="69">
        <v>0</v>
      </c>
      <c r="H41" s="69">
        <v>0</v>
      </c>
    </row>
    <row r="42" spans="1:8" ht="115.5">
      <c r="A42" s="67" t="s">
        <v>25</v>
      </c>
      <c r="B42" s="67" t="s">
        <v>87</v>
      </c>
      <c r="C42" s="67" t="s">
        <v>208</v>
      </c>
      <c r="D42" s="67" t="s">
        <v>93</v>
      </c>
      <c r="E42" s="68" t="s">
        <v>158</v>
      </c>
      <c r="F42" s="69">
        <f>F43+F46</f>
        <v>76.5</v>
      </c>
      <c r="G42" s="69">
        <f aca="true" t="shared" si="14" ref="G42:H42">G43+G46</f>
        <v>78</v>
      </c>
      <c r="H42" s="69">
        <f t="shared" si="14"/>
        <v>79.5</v>
      </c>
    </row>
    <row r="43" spans="1:8" ht="66">
      <c r="A43" s="67" t="s">
        <v>25</v>
      </c>
      <c r="B43" s="67" t="s">
        <v>87</v>
      </c>
      <c r="C43" s="67" t="s">
        <v>350</v>
      </c>
      <c r="D43" s="231" t="s">
        <v>93</v>
      </c>
      <c r="E43" s="68" t="s">
        <v>351</v>
      </c>
      <c r="F43" s="69">
        <f>F44</f>
        <v>51</v>
      </c>
      <c r="G43" s="69">
        <f aca="true" t="shared" si="15" ref="G43:H43">G44</f>
        <v>52</v>
      </c>
      <c r="H43" s="69">
        <f t="shared" si="15"/>
        <v>53</v>
      </c>
    </row>
    <row r="44" spans="1:8" ht="49.5">
      <c r="A44" s="67" t="s">
        <v>25</v>
      </c>
      <c r="B44" s="67" t="s">
        <v>87</v>
      </c>
      <c r="C44" s="67" t="s">
        <v>209</v>
      </c>
      <c r="D44" s="67" t="s">
        <v>93</v>
      </c>
      <c r="E44" s="68" t="s">
        <v>159</v>
      </c>
      <c r="F44" s="69">
        <f>F45</f>
        <v>51</v>
      </c>
      <c r="G44" s="69">
        <f aca="true" t="shared" si="16" ref="G44:H44">G45</f>
        <v>52</v>
      </c>
      <c r="H44" s="69">
        <f t="shared" si="16"/>
        <v>53</v>
      </c>
    </row>
    <row r="45" spans="1:8" ht="12.75">
      <c r="A45" s="67" t="s">
        <v>25</v>
      </c>
      <c r="B45" s="67" t="s">
        <v>87</v>
      </c>
      <c r="C45" s="67" t="s">
        <v>209</v>
      </c>
      <c r="D45" s="67" t="s">
        <v>97</v>
      </c>
      <c r="E45" s="68" t="s">
        <v>98</v>
      </c>
      <c r="F45" s="69">
        <v>51</v>
      </c>
      <c r="G45" s="69">
        <v>52</v>
      </c>
      <c r="H45" s="69">
        <v>53</v>
      </c>
    </row>
    <row r="46" spans="1:8" ht="49.5">
      <c r="A46" s="67" t="s">
        <v>25</v>
      </c>
      <c r="B46" s="67" t="s">
        <v>87</v>
      </c>
      <c r="C46" s="67" t="s">
        <v>352</v>
      </c>
      <c r="D46" s="231" t="s">
        <v>93</v>
      </c>
      <c r="E46" s="68" t="s">
        <v>353</v>
      </c>
      <c r="F46" s="69">
        <f>F47</f>
        <v>25.5</v>
      </c>
      <c r="G46" s="69">
        <f aca="true" t="shared" si="17" ref="G46:H47">G47</f>
        <v>26</v>
      </c>
      <c r="H46" s="69">
        <f t="shared" si="17"/>
        <v>26.5</v>
      </c>
    </row>
    <row r="47" spans="1:8" ht="66">
      <c r="A47" s="67" t="s">
        <v>25</v>
      </c>
      <c r="B47" s="67" t="s">
        <v>87</v>
      </c>
      <c r="C47" s="67" t="s">
        <v>210</v>
      </c>
      <c r="D47" s="67" t="s">
        <v>93</v>
      </c>
      <c r="E47" s="68" t="s">
        <v>160</v>
      </c>
      <c r="F47" s="69">
        <f>F48</f>
        <v>25.5</v>
      </c>
      <c r="G47" s="69">
        <f t="shared" si="17"/>
        <v>26</v>
      </c>
      <c r="H47" s="69">
        <f t="shared" si="17"/>
        <v>26.5</v>
      </c>
    </row>
    <row r="48" spans="1:8" ht="33">
      <c r="A48" s="67" t="s">
        <v>25</v>
      </c>
      <c r="B48" s="67" t="s">
        <v>87</v>
      </c>
      <c r="C48" s="67" t="s">
        <v>210</v>
      </c>
      <c r="D48" s="67" t="s">
        <v>96</v>
      </c>
      <c r="E48" s="68" t="s">
        <v>342</v>
      </c>
      <c r="F48" s="69">
        <v>25.5</v>
      </c>
      <c r="G48" s="69">
        <v>26</v>
      </c>
      <c r="H48" s="69">
        <v>26.5</v>
      </c>
    </row>
    <row r="49" spans="1:8" ht="33">
      <c r="A49" s="67" t="s">
        <v>25</v>
      </c>
      <c r="B49" s="67" t="s">
        <v>87</v>
      </c>
      <c r="C49" s="67" t="s">
        <v>211</v>
      </c>
      <c r="D49" s="67" t="s">
        <v>93</v>
      </c>
      <c r="E49" s="68" t="s">
        <v>161</v>
      </c>
      <c r="F49" s="69">
        <f>F50</f>
        <v>205.7</v>
      </c>
      <c r="G49" s="69">
        <f aca="true" t="shared" si="18" ref="G49:H51">G50</f>
        <v>109.2</v>
      </c>
      <c r="H49" s="69">
        <f t="shared" si="18"/>
        <v>111.4</v>
      </c>
    </row>
    <row r="50" spans="1:8" ht="33">
      <c r="A50" s="67" t="s">
        <v>25</v>
      </c>
      <c r="B50" s="67" t="s">
        <v>87</v>
      </c>
      <c r="C50" s="67" t="s">
        <v>354</v>
      </c>
      <c r="D50" s="231" t="s">
        <v>93</v>
      </c>
      <c r="E50" s="68" t="s">
        <v>355</v>
      </c>
      <c r="F50" s="69">
        <f>F51+F53</f>
        <v>205.7</v>
      </c>
      <c r="G50" s="69">
        <f aca="true" t="shared" si="19" ref="G50:H50">G51+G53</f>
        <v>109.2</v>
      </c>
      <c r="H50" s="69">
        <f t="shared" si="19"/>
        <v>111.4</v>
      </c>
    </row>
    <row r="51" spans="1:8" ht="33">
      <c r="A51" s="67" t="s">
        <v>25</v>
      </c>
      <c r="B51" s="67" t="s">
        <v>87</v>
      </c>
      <c r="C51" s="67" t="s">
        <v>212</v>
      </c>
      <c r="D51" s="67" t="s">
        <v>93</v>
      </c>
      <c r="E51" s="68" t="s">
        <v>356</v>
      </c>
      <c r="F51" s="69">
        <f>F52</f>
        <v>107.1</v>
      </c>
      <c r="G51" s="69">
        <f t="shared" si="18"/>
        <v>109.2</v>
      </c>
      <c r="H51" s="69">
        <f t="shared" si="18"/>
        <v>111.4</v>
      </c>
    </row>
    <row r="52" spans="1:8" ht="12.75">
      <c r="A52" s="67" t="s">
        <v>25</v>
      </c>
      <c r="B52" s="67" t="s">
        <v>87</v>
      </c>
      <c r="C52" s="67" t="s">
        <v>212</v>
      </c>
      <c r="D52" s="67" t="s">
        <v>100</v>
      </c>
      <c r="E52" s="68" t="s">
        <v>101</v>
      </c>
      <c r="F52" s="69">
        <v>107.1</v>
      </c>
      <c r="G52" s="69">
        <v>109.2</v>
      </c>
      <c r="H52" s="69">
        <v>111.4</v>
      </c>
    </row>
    <row r="53" spans="1:8" ht="49.5">
      <c r="A53" s="67" t="s">
        <v>25</v>
      </c>
      <c r="B53" s="67" t="s">
        <v>87</v>
      </c>
      <c r="C53" s="67" t="s">
        <v>651</v>
      </c>
      <c r="D53" s="67"/>
      <c r="E53" s="68" t="s">
        <v>652</v>
      </c>
      <c r="F53" s="69">
        <f>F54</f>
        <v>98.6</v>
      </c>
      <c r="G53" s="69">
        <f aca="true" t="shared" si="20" ref="G53:H53">G54</f>
        <v>0</v>
      </c>
      <c r="H53" s="69">
        <f t="shared" si="20"/>
        <v>0</v>
      </c>
    </row>
    <row r="54" spans="1:8" ht="33">
      <c r="A54" s="67" t="s">
        <v>25</v>
      </c>
      <c r="B54" s="67" t="s">
        <v>87</v>
      </c>
      <c r="C54" s="67" t="s">
        <v>651</v>
      </c>
      <c r="D54" s="67" t="s">
        <v>96</v>
      </c>
      <c r="E54" s="68" t="s">
        <v>342</v>
      </c>
      <c r="F54" s="69">
        <v>98.6</v>
      </c>
      <c r="G54" s="69">
        <v>0</v>
      </c>
      <c r="H54" s="69">
        <v>0</v>
      </c>
    </row>
    <row r="55" spans="1:8" ht="66">
      <c r="A55" s="67" t="s">
        <v>25</v>
      </c>
      <c r="B55" s="67" t="s">
        <v>87</v>
      </c>
      <c r="C55" s="67" t="s">
        <v>213</v>
      </c>
      <c r="D55" s="67" t="s">
        <v>93</v>
      </c>
      <c r="E55" s="68" t="s">
        <v>155</v>
      </c>
      <c r="F55" s="69">
        <f>F56</f>
        <v>62.199999999999996</v>
      </c>
      <c r="G55" s="69">
        <f aca="true" t="shared" si="21" ref="G55:H56">G56</f>
        <v>62.4</v>
      </c>
      <c r="H55" s="69">
        <f t="shared" si="21"/>
        <v>64.1</v>
      </c>
    </row>
    <row r="56" spans="1:8" ht="66">
      <c r="A56" s="67" t="s">
        <v>25</v>
      </c>
      <c r="B56" s="67" t="s">
        <v>87</v>
      </c>
      <c r="C56" s="67" t="s">
        <v>357</v>
      </c>
      <c r="D56" s="231" t="s">
        <v>93</v>
      </c>
      <c r="E56" s="68" t="s">
        <v>358</v>
      </c>
      <c r="F56" s="69">
        <f>F57</f>
        <v>62.199999999999996</v>
      </c>
      <c r="G56" s="69">
        <f t="shared" si="21"/>
        <v>62.4</v>
      </c>
      <c r="H56" s="69">
        <f t="shared" si="21"/>
        <v>64.1</v>
      </c>
    </row>
    <row r="57" spans="1:8" ht="33">
      <c r="A57" s="67" t="s">
        <v>25</v>
      </c>
      <c r="B57" s="67" t="s">
        <v>87</v>
      </c>
      <c r="C57" s="67" t="s">
        <v>214</v>
      </c>
      <c r="D57" s="67" t="s">
        <v>93</v>
      </c>
      <c r="E57" s="68" t="s">
        <v>156</v>
      </c>
      <c r="F57" s="69">
        <f>F58+F59</f>
        <v>62.199999999999996</v>
      </c>
      <c r="G57" s="69">
        <f aca="true" t="shared" si="22" ref="G57:H57">G58+G59</f>
        <v>62.4</v>
      </c>
      <c r="H57" s="69">
        <f t="shared" si="22"/>
        <v>64.1</v>
      </c>
    </row>
    <row r="58" spans="1:8" ht="33">
      <c r="A58" s="67" t="s">
        <v>25</v>
      </c>
      <c r="B58" s="67" t="s">
        <v>87</v>
      </c>
      <c r="C58" s="67" t="s">
        <v>214</v>
      </c>
      <c r="D58" s="67" t="s">
        <v>96</v>
      </c>
      <c r="E58" s="68" t="s">
        <v>342</v>
      </c>
      <c r="F58" s="69">
        <f>50.3-3.1</f>
        <v>47.199999999999996</v>
      </c>
      <c r="G58" s="69">
        <v>50.9</v>
      </c>
      <c r="H58" s="69">
        <v>52.6</v>
      </c>
    </row>
    <row r="59" spans="1:8" ht="12.75">
      <c r="A59" s="67" t="s">
        <v>25</v>
      </c>
      <c r="B59" s="67" t="s">
        <v>87</v>
      </c>
      <c r="C59" s="67" t="s">
        <v>214</v>
      </c>
      <c r="D59" s="67" t="s">
        <v>100</v>
      </c>
      <c r="E59" s="68" t="s">
        <v>101</v>
      </c>
      <c r="F59" s="69">
        <f>11.5+3.5</f>
        <v>15</v>
      </c>
      <c r="G59" s="69">
        <v>11.5</v>
      </c>
      <c r="H59" s="69">
        <v>11.5</v>
      </c>
    </row>
    <row r="60" spans="1:8" ht="12.75">
      <c r="A60" s="67" t="s">
        <v>25</v>
      </c>
      <c r="B60" s="67" t="s">
        <v>87</v>
      </c>
      <c r="C60" s="67" t="s">
        <v>201</v>
      </c>
      <c r="D60" s="67" t="s">
        <v>93</v>
      </c>
      <c r="E60" s="68" t="s">
        <v>2</v>
      </c>
      <c r="F60" s="69">
        <f>F61</f>
        <v>300</v>
      </c>
      <c r="G60" s="69">
        <f aca="true" t="shared" si="23" ref="G60:H60">G61</f>
        <v>295.7</v>
      </c>
      <c r="H60" s="69">
        <f t="shared" si="23"/>
        <v>295.7</v>
      </c>
    </row>
    <row r="61" spans="1:8" ht="33">
      <c r="A61" s="67" t="s">
        <v>25</v>
      </c>
      <c r="B61" s="67" t="s">
        <v>87</v>
      </c>
      <c r="C61" s="67" t="s">
        <v>340</v>
      </c>
      <c r="D61" s="231" t="s">
        <v>93</v>
      </c>
      <c r="E61" s="68" t="s">
        <v>341</v>
      </c>
      <c r="F61" s="69">
        <f>F62+F68+F65</f>
        <v>300</v>
      </c>
      <c r="G61" s="69">
        <f aca="true" t="shared" si="24" ref="G61:H61">G62+G68+G65</f>
        <v>295.7</v>
      </c>
      <c r="H61" s="69">
        <f t="shared" si="24"/>
        <v>295.7</v>
      </c>
    </row>
    <row r="62" spans="1:8" ht="99">
      <c r="A62" s="67" t="s">
        <v>25</v>
      </c>
      <c r="B62" s="67" t="s">
        <v>87</v>
      </c>
      <c r="C62" s="67" t="s">
        <v>215</v>
      </c>
      <c r="D62" s="67" t="s">
        <v>93</v>
      </c>
      <c r="E62" s="68" t="s">
        <v>191</v>
      </c>
      <c r="F62" s="69">
        <f>F63+F64</f>
        <v>264</v>
      </c>
      <c r="G62" s="69">
        <f aca="true" t="shared" si="25" ref="G62:H62">G63+G64</f>
        <v>264</v>
      </c>
      <c r="H62" s="69">
        <f t="shared" si="25"/>
        <v>264</v>
      </c>
    </row>
    <row r="63" spans="1:8" ht="82.5">
      <c r="A63" s="67" t="s">
        <v>25</v>
      </c>
      <c r="B63" s="67" t="s">
        <v>87</v>
      </c>
      <c r="C63" s="67" t="s">
        <v>215</v>
      </c>
      <c r="D63" s="67" t="s">
        <v>95</v>
      </c>
      <c r="E63" s="68" t="s">
        <v>3</v>
      </c>
      <c r="F63" s="69">
        <v>246.4</v>
      </c>
      <c r="G63" s="69">
        <v>246.4</v>
      </c>
      <c r="H63" s="69">
        <v>246.4</v>
      </c>
    </row>
    <row r="64" spans="1:8" ht="33">
      <c r="A64" s="67" t="s">
        <v>25</v>
      </c>
      <c r="B64" s="67" t="s">
        <v>87</v>
      </c>
      <c r="C64" s="67" t="s">
        <v>215</v>
      </c>
      <c r="D64" s="67" t="s">
        <v>96</v>
      </c>
      <c r="E64" s="68" t="s">
        <v>342</v>
      </c>
      <c r="F64" s="69">
        <v>17.6</v>
      </c>
      <c r="G64" s="69">
        <v>17.6</v>
      </c>
      <c r="H64" s="69">
        <v>17.6</v>
      </c>
    </row>
    <row r="65" spans="1:8" ht="99">
      <c r="A65" s="15" t="s">
        <v>25</v>
      </c>
      <c r="B65" s="15" t="s">
        <v>87</v>
      </c>
      <c r="C65" s="6" t="s">
        <v>576</v>
      </c>
      <c r="D65" s="180"/>
      <c r="E65" s="14" t="s">
        <v>577</v>
      </c>
      <c r="F65" s="69">
        <f>F66</f>
        <v>2.6</v>
      </c>
      <c r="G65" s="69">
        <f aca="true" t="shared" si="26" ref="G65:H65">G66</f>
        <v>0</v>
      </c>
      <c r="H65" s="69">
        <f t="shared" si="26"/>
        <v>0</v>
      </c>
    </row>
    <row r="66" spans="1:8" ht="82.5">
      <c r="A66" s="15" t="s">
        <v>25</v>
      </c>
      <c r="B66" s="15" t="s">
        <v>87</v>
      </c>
      <c r="C66" s="6" t="s">
        <v>576</v>
      </c>
      <c r="D66" s="180" t="s">
        <v>95</v>
      </c>
      <c r="E66" s="5" t="s">
        <v>3</v>
      </c>
      <c r="F66" s="69">
        <v>2.6</v>
      </c>
      <c r="G66" s="69">
        <v>0</v>
      </c>
      <c r="H66" s="69">
        <v>0</v>
      </c>
    </row>
    <row r="67" spans="1:8" ht="66">
      <c r="A67" s="67" t="s">
        <v>25</v>
      </c>
      <c r="B67" s="67" t="s">
        <v>87</v>
      </c>
      <c r="C67" s="67" t="s">
        <v>204</v>
      </c>
      <c r="D67" s="67" t="s">
        <v>93</v>
      </c>
      <c r="E67" s="68" t="s">
        <v>344</v>
      </c>
      <c r="F67" s="69">
        <f>F68</f>
        <v>33.4</v>
      </c>
      <c r="G67" s="69">
        <f aca="true" t="shared" si="27" ref="G67:H67">G68</f>
        <v>31.7</v>
      </c>
      <c r="H67" s="69">
        <f t="shared" si="27"/>
        <v>31.7</v>
      </c>
    </row>
    <row r="68" spans="1:8" ht="82.5">
      <c r="A68" s="67" t="s">
        <v>25</v>
      </c>
      <c r="B68" s="67" t="s">
        <v>87</v>
      </c>
      <c r="C68" s="67" t="s">
        <v>204</v>
      </c>
      <c r="D68" s="67" t="s">
        <v>95</v>
      </c>
      <c r="E68" s="68" t="s">
        <v>3</v>
      </c>
      <c r="F68" s="69">
        <f>31.7+1.7</f>
        <v>33.4</v>
      </c>
      <c r="G68" s="69">
        <v>31.7</v>
      </c>
      <c r="H68" s="69">
        <v>31.7</v>
      </c>
    </row>
    <row r="69" spans="1:8" ht="33">
      <c r="A69" s="15" t="s">
        <v>25</v>
      </c>
      <c r="B69" s="15" t="s">
        <v>87</v>
      </c>
      <c r="C69" s="31">
        <v>9900000000</v>
      </c>
      <c r="D69" s="65"/>
      <c r="E69" s="32" t="s">
        <v>506</v>
      </c>
      <c r="F69" s="33">
        <f>F70</f>
        <v>130.1</v>
      </c>
      <c r="G69" s="33">
        <f aca="true" t="shared" si="28" ref="G69:H71">G70</f>
        <v>0</v>
      </c>
      <c r="H69" s="33">
        <f t="shared" si="28"/>
        <v>0</v>
      </c>
    </row>
    <row r="70" spans="1:8" ht="49.5">
      <c r="A70" s="15" t="s">
        <v>25</v>
      </c>
      <c r="B70" s="15" t="s">
        <v>87</v>
      </c>
      <c r="C70" s="31">
        <v>9940000000</v>
      </c>
      <c r="D70" s="180"/>
      <c r="E70" s="5" t="s">
        <v>437</v>
      </c>
      <c r="F70" s="33">
        <f>F71</f>
        <v>130.1</v>
      </c>
      <c r="G70" s="33">
        <f t="shared" si="28"/>
        <v>0</v>
      </c>
      <c r="H70" s="33">
        <f t="shared" si="28"/>
        <v>0</v>
      </c>
    </row>
    <row r="71" spans="1:8" ht="12.75">
      <c r="A71" s="15" t="s">
        <v>25</v>
      </c>
      <c r="B71" s="15" t="s">
        <v>87</v>
      </c>
      <c r="C71" s="31" t="s">
        <v>507</v>
      </c>
      <c r="D71" s="180"/>
      <c r="E71" s="5" t="s">
        <v>508</v>
      </c>
      <c r="F71" s="33">
        <f>F72</f>
        <v>130.1</v>
      </c>
      <c r="G71" s="33">
        <f t="shared" si="28"/>
        <v>0</v>
      </c>
      <c r="H71" s="33">
        <f t="shared" si="28"/>
        <v>0</v>
      </c>
    </row>
    <row r="72" spans="1:8" ht="12.75">
      <c r="A72" s="15" t="s">
        <v>25</v>
      </c>
      <c r="B72" s="15" t="s">
        <v>87</v>
      </c>
      <c r="C72" s="31" t="s">
        <v>507</v>
      </c>
      <c r="D72" s="180" t="s">
        <v>97</v>
      </c>
      <c r="E72" s="5" t="s">
        <v>98</v>
      </c>
      <c r="F72" s="33">
        <f>2+28.1+100</f>
        <v>130.1</v>
      </c>
      <c r="G72" s="69">
        <v>0</v>
      </c>
      <c r="H72" s="69">
        <v>0</v>
      </c>
    </row>
    <row r="73" spans="1:8" ht="33">
      <c r="A73" s="67" t="s">
        <v>25</v>
      </c>
      <c r="B73" s="67" t="s">
        <v>82</v>
      </c>
      <c r="C73" s="67" t="s">
        <v>93</v>
      </c>
      <c r="D73" s="67" t="s">
        <v>93</v>
      </c>
      <c r="E73" s="5" t="s">
        <v>47</v>
      </c>
      <c r="F73" s="69">
        <f>F74+F83</f>
        <v>8176.3</v>
      </c>
      <c r="G73" s="69">
        <f aca="true" t="shared" si="29" ref="G73:H73">G74+G83</f>
        <v>7918</v>
      </c>
      <c r="H73" s="69">
        <f t="shared" si="29"/>
        <v>7917.7</v>
      </c>
    </row>
    <row r="74" spans="1:8" ht="12.75">
      <c r="A74" s="67" t="s">
        <v>25</v>
      </c>
      <c r="B74" s="67" t="s">
        <v>102</v>
      </c>
      <c r="C74" s="67" t="s">
        <v>93</v>
      </c>
      <c r="D74" s="67" t="s">
        <v>93</v>
      </c>
      <c r="E74" s="68" t="s">
        <v>103</v>
      </c>
      <c r="F74" s="69">
        <f>F75</f>
        <v>1540.2</v>
      </c>
      <c r="G74" s="69">
        <f aca="true" t="shared" si="30" ref="G74:H75">G75</f>
        <v>1383.0000000000002</v>
      </c>
      <c r="H74" s="69">
        <f t="shared" si="30"/>
        <v>1382.7</v>
      </c>
    </row>
    <row r="75" spans="1:8" ht="66">
      <c r="A75" s="67" t="s">
        <v>25</v>
      </c>
      <c r="B75" s="67" t="s">
        <v>102</v>
      </c>
      <c r="C75" s="67" t="s">
        <v>200</v>
      </c>
      <c r="D75" s="67" t="s">
        <v>93</v>
      </c>
      <c r="E75" s="68" t="s">
        <v>339</v>
      </c>
      <c r="F75" s="69">
        <f>F76</f>
        <v>1540.2</v>
      </c>
      <c r="G75" s="69">
        <f t="shared" si="30"/>
        <v>1383.0000000000002</v>
      </c>
      <c r="H75" s="69">
        <f t="shared" si="30"/>
        <v>1382.7</v>
      </c>
    </row>
    <row r="76" spans="1:8" ht="12.75">
      <c r="A76" s="67" t="s">
        <v>25</v>
      </c>
      <c r="B76" s="67" t="s">
        <v>102</v>
      </c>
      <c r="C76" s="67" t="s">
        <v>201</v>
      </c>
      <c r="D76" s="67" t="s">
        <v>93</v>
      </c>
      <c r="E76" s="68" t="s">
        <v>2</v>
      </c>
      <c r="F76" s="69">
        <f>F77</f>
        <v>1540.2</v>
      </c>
      <c r="G76" s="69">
        <f aca="true" t="shared" si="31" ref="G76:H76">G77</f>
        <v>1383.0000000000002</v>
      </c>
      <c r="H76" s="69">
        <f t="shared" si="31"/>
        <v>1382.7</v>
      </c>
    </row>
    <row r="77" spans="1:8" ht="33">
      <c r="A77" s="67" t="s">
        <v>25</v>
      </c>
      <c r="B77" s="67" t="s">
        <v>102</v>
      </c>
      <c r="C77" s="67" t="s">
        <v>340</v>
      </c>
      <c r="D77" s="67" t="s">
        <v>93</v>
      </c>
      <c r="E77" s="68" t="s">
        <v>341</v>
      </c>
      <c r="F77" s="69">
        <f>F78+F80</f>
        <v>1540.2</v>
      </c>
      <c r="G77" s="69">
        <f aca="true" t="shared" si="32" ref="G77:H77">G78+G80</f>
        <v>1383.0000000000002</v>
      </c>
      <c r="H77" s="69">
        <f t="shared" si="32"/>
        <v>1382.7</v>
      </c>
    </row>
    <row r="78" spans="1:8" ht="66">
      <c r="A78" s="67" t="s">
        <v>25</v>
      </c>
      <c r="B78" s="67" t="s">
        <v>102</v>
      </c>
      <c r="C78" s="67" t="s">
        <v>204</v>
      </c>
      <c r="D78" s="67" t="s">
        <v>93</v>
      </c>
      <c r="E78" s="68" t="s">
        <v>344</v>
      </c>
      <c r="F78" s="69">
        <f>F79</f>
        <v>146.7</v>
      </c>
      <c r="G78" s="69">
        <f aca="true" t="shared" si="33" ref="G78:H78">G79</f>
        <v>131.7</v>
      </c>
      <c r="H78" s="69">
        <f t="shared" si="33"/>
        <v>131.7</v>
      </c>
    </row>
    <row r="79" spans="1:8" ht="82.5">
      <c r="A79" s="67" t="s">
        <v>25</v>
      </c>
      <c r="B79" s="67" t="s">
        <v>102</v>
      </c>
      <c r="C79" s="67" t="s">
        <v>204</v>
      </c>
      <c r="D79" s="67" t="s">
        <v>95</v>
      </c>
      <c r="E79" s="68" t="s">
        <v>3</v>
      </c>
      <c r="F79" s="69">
        <f>131.7+15</f>
        <v>146.7</v>
      </c>
      <c r="G79" s="69">
        <v>131.7</v>
      </c>
      <c r="H79" s="69">
        <v>131.7</v>
      </c>
    </row>
    <row r="80" spans="1:8" ht="49.5">
      <c r="A80" s="67" t="s">
        <v>25</v>
      </c>
      <c r="B80" s="67" t="s">
        <v>102</v>
      </c>
      <c r="C80" s="67" t="s">
        <v>216</v>
      </c>
      <c r="D80" s="67" t="s">
        <v>93</v>
      </c>
      <c r="E80" s="68" t="s">
        <v>359</v>
      </c>
      <c r="F80" s="69">
        <f>F81+F82</f>
        <v>1393.5</v>
      </c>
      <c r="G80" s="69">
        <f aca="true" t="shared" si="34" ref="G80:H80">G81+G82</f>
        <v>1251.3000000000002</v>
      </c>
      <c r="H80" s="69">
        <f t="shared" si="34"/>
        <v>1251</v>
      </c>
    </row>
    <row r="81" spans="1:8" ht="82.5">
      <c r="A81" s="67" t="s">
        <v>25</v>
      </c>
      <c r="B81" s="67" t="s">
        <v>102</v>
      </c>
      <c r="C81" s="67" t="s">
        <v>216</v>
      </c>
      <c r="D81" s="67" t="s">
        <v>95</v>
      </c>
      <c r="E81" s="68" t="s">
        <v>3</v>
      </c>
      <c r="F81" s="69">
        <v>1227.9</v>
      </c>
      <c r="G81" s="69">
        <v>1227.9</v>
      </c>
      <c r="H81" s="69">
        <v>1227.9</v>
      </c>
    </row>
    <row r="82" spans="1:8" ht="33">
      <c r="A82" s="67" t="s">
        <v>25</v>
      </c>
      <c r="B82" s="67" t="s">
        <v>102</v>
      </c>
      <c r="C82" s="67" t="s">
        <v>216</v>
      </c>
      <c r="D82" s="67" t="s">
        <v>96</v>
      </c>
      <c r="E82" s="68" t="s">
        <v>342</v>
      </c>
      <c r="F82" s="69">
        <f>23.7+141.9</f>
        <v>165.6</v>
      </c>
      <c r="G82" s="69">
        <v>23.4</v>
      </c>
      <c r="H82" s="69">
        <v>23.1</v>
      </c>
    </row>
    <row r="83" spans="1:8" ht="49.5">
      <c r="A83" s="67" t="s">
        <v>25</v>
      </c>
      <c r="B83" s="67" t="s">
        <v>73</v>
      </c>
      <c r="C83" s="67"/>
      <c r="D83" s="67"/>
      <c r="E83" s="68" t="s">
        <v>20</v>
      </c>
      <c r="F83" s="69">
        <f>F84+F89</f>
        <v>6636.1</v>
      </c>
      <c r="G83" s="69">
        <f aca="true" t="shared" si="35" ref="G83:H83">G84+G89</f>
        <v>6535</v>
      </c>
      <c r="H83" s="69">
        <f t="shared" si="35"/>
        <v>6535</v>
      </c>
    </row>
    <row r="84" spans="1:8" ht="66">
      <c r="A84" s="67" t="s">
        <v>25</v>
      </c>
      <c r="B84" s="67" t="s">
        <v>73</v>
      </c>
      <c r="C84" s="67" t="s">
        <v>200</v>
      </c>
      <c r="D84" s="67"/>
      <c r="E84" s="68" t="s">
        <v>192</v>
      </c>
      <c r="F84" s="69">
        <f>F85</f>
        <v>6537.3</v>
      </c>
      <c r="G84" s="69">
        <f aca="true" t="shared" si="36" ref="G84:H87">G85</f>
        <v>6535</v>
      </c>
      <c r="H84" s="69">
        <f t="shared" si="36"/>
        <v>6535</v>
      </c>
    </row>
    <row r="85" spans="1:8" ht="49.5">
      <c r="A85" s="67" t="s">
        <v>25</v>
      </c>
      <c r="B85" s="67" t="s">
        <v>73</v>
      </c>
      <c r="C85" s="67" t="s">
        <v>217</v>
      </c>
      <c r="D85" s="67"/>
      <c r="E85" s="68" t="s">
        <v>162</v>
      </c>
      <c r="F85" s="69">
        <f>F86</f>
        <v>6537.3</v>
      </c>
      <c r="G85" s="69">
        <f t="shared" si="36"/>
        <v>6535</v>
      </c>
      <c r="H85" s="69">
        <f t="shared" si="36"/>
        <v>6535</v>
      </c>
    </row>
    <row r="86" spans="1:8" ht="49.5">
      <c r="A86" s="67" t="s">
        <v>25</v>
      </c>
      <c r="B86" s="67" t="s">
        <v>73</v>
      </c>
      <c r="C86" s="67" t="s">
        <v>497</v>
      </c>
      <c r="D86" s="67"/>
      <c r="E86" s="68" t="s">
        <v>498</v>
      </c>
      <c r="F86" s="69">
        <f>F87</f>
        <v>6537.3</v>
      </c>
      <c r="G86" s="69">
        <f t="shared" si="36"/>
        <v>6535</v>
      </c>
      <c r="H86" s="69">
        <f t="shared" si="36"/>
        <v>6535</v>
      </c>
    </row>
    <row r="87" spans="1:8" ht="49.5">
      <c r="A87" s="67" t="s">
        <v>25</v>
      </c>
      <c r="B87" s="67" t="s">
        <v>73</v>
      </c>
      <c r="C87" s="67" t="s">
        <v>218</v>
      </c>
      <c r="D87" s="67"/>
      <c r="E87" s="68" t="s">
        <v>163</v>
      </c>
      <c r="F87" s="69">
        <f>F88</f>
        <v>6537.3</v>
      </c>
      <c r="G87" s="69">
        <f t="shared" si="36"/>
        <v>6535</v>
      </c>
      <c r="H87" s="69">
        <f t="shared" si="36"/>
        <v>6535</v>
      </c>
    </row>
    <row r="88" spans="1:8" ht="33">
      <c r="A88" s="67" t="s">
        <v>25</v>
      </c>
      <c r="B88" s="67" t="s">
        <v>73</v>
      </c>
      <c r="C88" s="67" t="s">
        <v>218</v>
      </c>
      <c r="D88" s="67">
        <v>600</v>
      </c>
      <c r="E88" s="68" t="s">
        <v>117</v>
      </c>
      <c r="F88" s="69">
        <f>6535+2.3</f>
        <v>6537.3</v>
      </c>
      <c r="G88" s="69">
        <v>6535</v>
      </c>
      <c r="H88" s="69">
        <v>6535</v>
      </c>
    </row>
    <row r="89" spans="1:8" ht="33">
      <c r="A89" s="67" t="s">
        <v>25</v>
      </c>
      <c r="B89" s="67" t="s">
        <v>73</v>
      </c>
      <c r="C89" s="67" t="s">
        <v>312</v>
      </c>
      <c r="D89" s="67" t="s">
        <v>93</v>
      </c>
      <c r="E89" s="68" t="s">
        <v>429</v>
      </c>
      <c r="F89" s="69">
        <f>F90</f>
        <v>98.8</v>
      </c>
      <c r="G89" s="69">
        <f aca="true" t="shared" si="37" ref="G89:H91">G90</f>
        <v>0</v>
      </c>
      <c r="H89" s="69">
        <f t="shared" si="37"/>
        <v>0</v>
      </c>
    </row>
    <row r="90" spans="1:8" ht="12.75">
      <c r="A90" s="67" t="s">
        <v>25</v>
      </c>
      <c r="B90" s="67" t="s">
        <v>73</v>
      </c>
      <c r="C90" s="67" t="s">
        <v>430</v>
      </c>
      <c r="D90" s="67" t="s">
        <v>93</v>
      </c>
      <c r="E90" s="68" t="s">
        <v>13</v>
      </c>
      <c r="F90" s="69">
        <f>F91</f>
        <v>98.8</v>
      </c>
      <c r="G90" s="69">
        <f t="shared" si="37"/>
        <v>0</v>
      </c>
      <c r="H90" s="69">
        <f t="shared" si="37"/>
        <v>0</v>
      </c>
    </row>
    <row r="91" spans="1:8" ht="33">
      <c r="A91" s="67" t="s">
        <v>25</v>
      </c>
      <c r="B91" s="67" t="s">
        <v>73</v>
      </c>
      <c r="C91" s="67" t="s">
        <v>259</v>
      </c>
      <c r="D91" s="67" t="s">
        <v>93</v>
      </c>
      <c r="E91" s="68" t="s">
        <v>132</v>
      </c>
      <c r="F91" s="69">
        <f>F92</f>
        <v>98.8</v>
      </c>
      <c r="G91" s="69">
        <f t="shared" si="37"/>
        <v>0</v>
      </c>
      <c r="H91" s="69">
        <f t="shared" si="37"/>
        <v>0</v>
      </c>
    </row>
    <row r="92" spans="1:8" ht="33">
      <c r="A92" s="67" t="s">
        <v>25</v>
      </c>
      <c r="B92" s="67" t="s">
        <v>73</v>
      </c>
      <c r="C92" s="67" t="s">
        <v>259</v>
      </c>
      <c r="D92" s="67">
        <v>600</v>
      </c>
      <c r="E92" s="68" t="s">
        <v>117</v>
      </c>
      <c r="F92" s="69">
        <v>98.8</v>
      </c>
      <c r="G92" s="69">
        <v>0</v>
      </c>
      <c r="H92" s="69">
        <v>0</v>
      </c>
    </row>
    <row r="93" spans="1:8" ht="12.75">
      <c r="A93" s="67" t="s">
        <v>25</v>
      </c>
      <c r="B93" s="67" t="s">
        <v>83</v>
      </c>
      <c r="C93" s="67" t="s">
        <v>93</v>
      </c>
      <c r="D93" s="67" t="s">
        <v>93</v>
      </c>
      <c r="E93" s="5" t="s">
        <v>48</v>
      </c>
      <c r="F93" s="69">
        <f>F94+F100+F135</f>
        <v>113499.5</v>
      </c>
      <c r="G93" s="69">
        <f>G94+G100+G135</f>
        <v>31767.7</v>
      </c>
      <c r="H93" s="69">
        <f>H94+H100+H135</f>
        <v>21503</v>
      </c>
    </row>
    <row r="94" spans="1:8" ht="12.75">
      <c r="A94" s="67" t="s">
        <v>25</v>
      </c>
      <c r="B94" s="67" t="s">
        <v>176</v>
      </c>
      <c r="C94" s="67" t="s">
        <v>93</v>
      </c>
      <c r="D94" s="67" t="s">
        <v>93</v>
      </c>
      <c r="E94" s="68" t="s">
        <v>177</v>
      </c>
      <c r="F94" s="69">
        <f>F95</f>
        <v>395.8</v>
      </c>
      <c r="G94" s="69">
        <f aca="true" t="shared" si="38" ref="G94:H98">G95</f>
        <v>395.8</v>
      </c>
      <c r="H94" s="69">
        <f t="shared" si="38"/>
        <v>395.8</v>
      </c>
    </row>
    <row r="95" spans="1:8" ht="49.5">
      <c r="A95" s="67" t="s">
        <v>25</v>
      </c>
      <c r="B95" s="67" t="s">
        <v>176</v>
      </c>
      <c r="C95" s="67" t="s">
        <v>219</v>
      </c>
      <c r="D95" s="67" t="s">
        <v>93</v>
      </c>
      <c r="E95" s="68" t="s">
        <v>360</v>
      </c>
      <c r="F95" s="69">
        <f>F96</f>
        <v>395.8</v>
      </c>
      <c r="G95" s="69">
        <f t="shared" si="38"/>
        <v>395.8</v>
      </c>
      <c r="H95" s="69">
        <f t="shared" si="38"/>
        <v>395.8</v>
      </c>
    </row>
    <row r="96" spans="1:8" ht="49.5">
      <c r="A96" s="67" t="s">
        <v>25</v>
      </c>
      <c r="B96" s="67" t="s">
        <v>176</v>
      </c>
      <c r="C96" s="67" t="s">
        <v>220</v>
      </c>
      <c r="D96" s="67" t="s">
        <v>93</v>
      </c>
      <c r="E96" s="68" t="s">
        <v>171</v>
      </c>
      <c r="F96" s="69">
        <f>F97</f>
        <v>395.8</v>
      </c>
      <c r="G96" s="69">
        <f t="shared" si="38"/>
        <v>395.8</v>
      </c>
      <c r="H96" s="69">
        <f t="shared" si="38"/>
        <v>395.8</v>
      </c>
    </row>
    <row r="97" spans="1:8" ht="66">
      <c r="A97" s="67" t="s">
        <v>25</v>
      </c>
      <c r="B97" s="67" t="s">
        <v>176</v>
      </c>
      <c r="C97" s="67" t="s">
        <v>361</v>
      </c>
      <c r="D97" s="231" t="s">
        <v>93</v>
      </c>
      <c r="E97" s="68" t="s">
        <v>362</v>
      </c>
      <c r="F97" s="69">
        <f>F98</f>
        <v>395.8</v>
      </c>
      <c r="G97" s="69">
        <f t="shared" si="38"/>
        <v>395.8</v>
      </c>
      <c r="H97" s="69">
        <f t="shared" si="38"/>
        <v>395.8</v>
      </c>
    </row>
    <row r="98" spans="1:8" ht="115.5">
      <c r="A98" s="67" t="s">
        <v>25</v>
      </c>
      <c r="B98" s="67" t="s">
        <v>176</v>
      </c>
      <c r="C98" s="67" t="s">
        <v>221</v>
      </c>
      <c r="D98" s="67" t="s">
        <v>93</v>
      </c>
      <c r="E98" s="68" t="s">
        <v>178</v>
      </c>
      <c r="F98" s="69">
        <f>F99</f>
        <v>395.8</v>
      </c>
      <c r="G98" s="69">
        <f t="shared" si="38"/>
        <v>395.8</v>
      </c>
      <c r="H98" s="69">
        <f t="shared" si="38"/>
        <v>395.8</v>
      </c>
    </row>
    <row r="99" spans="1:8" ht="33">
      <c r="A99" s="67" t="s">
        <v>25</v>
      </c>
      <c r="B99" s="67" t="s">
        <v>176</v>
      </c>
      <c r="C99" s="67" t="s">
        <v>221</v>
      </c>
      <c r="D99" s="67" t="s">
        <v>96</v>
      </c>
      <c r="E99" s="68" t="s">
        <v>342</v>
      </c>
      <c r="F99" s="69">
        <v>395.8</v>
      </c>
      <c r="G99" s="69">
        <v>395.8</v>
      </c>
      <c r="H99" s="69">
        <v>395.8</v>
      </c>
    </row>
    <row r="100" spans="1:8" ht="12.75">
      <c r="A100" s="67" t="s">
        <v>25</v>
      </c>
      <c r="B100" s="67" t="s">
        <v>10</v>
      </c>
      <c r="C100" s="67" t="s">
        <v>93</v>
      </c>
      <c r="D100" s="67" t="s">
        <v>93</v>
      </c>
      <c r="E100" s="68" t="s">
        <v>329</v>
      </c>
      <c r="F100" s="69">
        <f>F101</f>
        <v>112527.8</v>
      </c>
      <c r="G100" s="69">
        <f aca="true" t="shared" si="39" ref="G100:H100">G101</f>
        <v>31128.9</v>
      </c>
      <c r="H100" s="69">
        <f t="shared" si="39"/>
        <v>20859.3</v>
      </c>
    </row>
    <row r="101" spans="1:8" ht="66">
      <c r="A101" s="67" t="s">
        <v>25</v>
      </c>
      <c r="B101" s="67" t="s">
        <v>10</v>
      </c>
      <c r="C101" s="67" t="s">
        <v>222</v>
      </c>
      <c r="D101" s="67" t="s">
        <v>93</v>
      </c>
      <c r="E101" s="68" t="s">
        <v>363</v>
      </c>
      <c r="F101" s="69">
        <f>F102+F127</f>
        <v>112527.8</v>
      </c>
      <c r="G101" s="69">
        <f>G102+G127</f>
        <v>31128.9</v>
      </c>
      <c r="H101" s="69">
        <f>H102+H127</f>
        <v>20859.3</v>
      </c>
    </row>
    <row r="102" spans="1:8" ht="49.5">
      <c r="A102" s="67" t="s">
        <v>25</v>
      </c>
      <c r="B102" s="67" t="s">
        <v>10</v>
      </c>
      <c r="C102" s="67" t="s">
        <v>223</v>
      </c>
      <c r="D102" s="67" t="s">
        <v>93</v>
      </c>
      <c r="E102" s="68" t="s">
        <v>511</v>
      </c>
      <c r="F102" s="69">
        <f>F103+F106+F115+F124</f>
        <v>108599.8</v>
      </c>
      <c r="G102" s="69">
        <f aca="true" t="shared" si="40" ref="G102:H102">G103+G106+G115+G124</f>
        <v>27628.9</v>
      </c>
      <c r="H102" s="69">
        <f t="shared" si="40"/>
        <v>20859.3</v>
      </c>
    </row>
    <row r="103" spans="1:8" ht="49.5">
      <c r="A103" s="67" t="s">
        <v>25</v>
      </c>
      <c r="B103" s="67" t="s">
        <v>10</v>
      </c>
      <c r="C103" s="67" t="s">
        <v>364</v>
      </c>
      <c r="D103" s="231" t="s">
        <v>93</v>
      </c>
      <c r="E103" s="68" t="s">
        <v>365</v>
      </c>
      <c r="F103" s="69">
        <f>F104</f>
        <v>25181.300000000003</v>
      </c>
      <c r="G103" s="69">
        <f aca="true" t="shared" si="41" ref="G103:H103">G104</f>
        <v>21054.7</v>
      </c>
      <c r="H103" s="69">
        <f t="shared" si="41"/>
        <v>20859.3</v>
      </c>
    </row>
    <row r="104" spans="1:8" ht="66">
      <c r="A104" s="67" t="s">
        <v>25</v>
      </c>
      <c r="B104" s="67" t="s">
        <v>10</v>
      </c>
      <c r="C104" s="67" t="s">
        <v>224</v>
      </c>
      <c r="D104" s="67" t="s">
        <v>93</v>
      </c>
      <c r="E104" s="68" t="s">
        <v>366</v>
      </c>
      <c r="F104" s="69">
        <f>F105</f>
        <v>25181.300000000003</v>
      </c>
      <c r="G104" s="69">
        <f aca="true" t="shared" si="42" ref="G104:H104">G105</f>
        <v>21054.7</v>
      </c>
      <c r="H104" s="69">
        <f t="shared" si="42"/>
        <v>20859.3</v>
      </c>
    </row>
    <row r="105" spans="1:8" ht="33">
      <c r="A105" s="67" t="s">
        <v>25</v>
      </c>
      <c r="B105" s="67" t="s">
        <v>10</v>
      </c>
      <c r="C105" s="67" t="s">
        <v>224</v>
      </c>
      <c r="D105" s="67" t="s">
        <v>96</v>
      </c>
      <c r="E105" s="68" t="s">
        <v>342</v>
      </c>
      <c r="F105" s="69">
        <f>21954.7-150+3000+397.7-21.1</f>
        <v>25181.300000000003</v>
      </c>
      <c r="G105" s="69">
        <v>21054.7</v>
      </c>
      <c r="H105" s="69">
        <v>20859.3</v>
      </c>
    </row>
    <row r="106" spans="1:8" ht="66">
      <c r="A106" s="67" t="s">
        <v>25</v>
      </c>
      <c r="B106" s="67" t="s">
        <v>10</v>
      </c>
      <c r="C106" s="67" t="s">
        <v>367</v>
      </c>
      <c r="D106" s="231" t="s">
        <v>93</v>
      </c>
      <c r="E106" s="68" t="s">
        <v>368</v>
      </c>
      <c r="F106" s="69">
        <f>F109+F111+F113+F107</f>
        <v>34640.899999999994</v>
      </c>
      <c r="G106" s="69">
        <f aca="true" t="shared" si="43" ref="G106:H106">G109+G111+G113+G107</f>
        <v>6574.2</v>
      </c>
      <c r="H106" s="69">
        <f t="shared" si="43"/>
        <v>0</v>
      </c>
    </row>
    <row r="107" spans="1:8" ht="49.5">
      <c r="A107" s="67" t="s">
        <v>25</v>
      </c>
      <c r="B107" s="67" t="s">
        <v>10</v>
      </c>
      <c r="C107" s="67" t="s">
        <v>593</v>
      </c>
      <c r="D107" s="67" t="s">
        <v>93</v>
      </c>
      <c r="E107" s="68" t="s">
        <v>595</v>
      </c>
      <c r="F107" s="69">
        <f>F108</f>
        <v>21150.1</v>
      </c>
      <c r="G107" s="69">
        <f aca="true" t="shared" si="44" ref="G107:H107">G108</f>
        <v>0</v>
      </c>
      <c r="H107" s="69">
        <f t="shared" si="44"/>
        <v>0</v>
      </c>
    </row>
    <row r="108" spans="1:8" ht="33">
      <c r="A108" s="67" t="s">
        <v>25</v>
      </c>
      <c r="B108" s="67" t="s">
        <v>10</v>
      </c>
      <c r="C108" s="67" t="s">
        <v>593</v>
      </c>
      <c r="D108" s="67" t="s">
        <v>96</v>
      </c>
      <c r="E108" s="68" t="s">
        <v>342</v>
      </c>
      <c r="F108" s="69">
        <v>21150.1</v>
      </c>
      <c r="G108" s="69">
        <v>0</v>
      </c>
      <c r="H108" s="69">
        <v>0</v>
      </c>
    </row>
    <row r="109" spans="1:8" ht="49.5">
      <c r="A109" s="67" t="s">
        <v>25</v>
      </c>
      <c r="B109" s="67" t="s">
        <v>10</v>
      </c>
      <c r="C109" s="67" t="s">
        <v>225</v>
      </c>
      <c r="D109" s="67" t="s">
        <v>93</v>
      </c>
      <c r="E109" s="68" t="s">
        <v>197</v>
      </c>
      <c r="F109" s="69">
        <f>F110</f>
        <v>6380</v>
      </c>
      <c r="G109" s="69">
        <f aca="true" t="shared" si="45" ref="G109:H109">G110</f>
        <v>2400</v>
      </c>
      <c r="H109" s="69">
        <f t="shared" si="45"/>
        <v>0</v>
      </c>
    </row>
    <row r="110" spans="1:8" ht="33">
      <c r="A110" s="67" t="s">
        <v>25</v>
      </c>
      <c r="B110" s="67" t="s">
        <v>10</v>
      </c>
      <c r="C110" s="67" t="s">
        <v>225</v>
      </c>
      <c r="D110" s="67" t="s">
        <v>96</v>
      </c>
      <c r="E110" s="68" t="s">
        <v>342</v>
      </c>
      <c r="F110" s="69">
        <f>2400+4000+85.6-105.6</f>
        <v>6380</v>
      </c>
      <c r="G110" s="69">
        <v>2400</v>
      </c>
      <c r="H110" s="69">
        <v>0</v>
      </c>
    </row>
    <row r="111" spans="1:8" ht="49.5">
      <c r="A111" s="67" t="s">
        <v>25</v>
      </c>
      <c r="B111" s="67" t="s">
        <v>10</v>
      </c>
      <c r="C111" s="67" t="s">
        <v>226</v>
      </c>
      <c r="D111" s="67" t="s">
        <v>93</v>
      </c>
      <c r="E111" s="68" t="s">
        <v>369</v>
      </c>
      <c r="F111" s="69">
        <f>F112</f>
        <v>1018.5</v>
      </c>
      <c r="G111" s="69">
        <f aca="true" t="shared" si="46" ref="G111:H111">G112</f>
        <v>4174.2</v>
      </c>
      <c r="H111" s="69">
        <f t="shared" si="46"/>
        <v>0</v>
      </c>
    </row>
    <row r="112" spans="1:8" ht="33">
      <c r="A112" s="67" t="s">
        <v>25</v>
      </c>
      <c r="B112" s="67" t="s">
        <v>10</v>
      </c>
      <c r="C112" s="67" t="s">
        <v>226</v>
      </c>
      <c r="D112" s="67" t="s">
        <v>96</v>
      </c>
      <c r="E112" s="68" t="s">
        <v>342</v>
      </c>
      <c r="F112" s="69">
        <f>4371+13320.2-16430.2+58.5-300.7-0.3</f>
        <v>1018.5</v>
      </c>
      <c r="G112" s="69">
        <v>4174.2</v>
      </c>
      <c r="H112" s="69">
        <v>0</v>
      </c>
    </row>
    <row r="113" spans="1:8" ht="66">
      <c r="A113" s="67" t="s">
        <v>25</v>
      </c>
      <c r="B113" s="67" t="s">
        <v>10</v>
      </c>
      <c r="C113" s="67" t="s">
        <v>518</v>
      </c>
      <c r="D113" s="67" t="s">
        <v>93</v>
      </c>
      <c r="E113" s="68" t="s">
        <v>517</v>
      </c>
      <c r="F113" s="69">
        <f>F114</f>
        <v>6092.3</v>
      </c>
      <c r="G113" s="69">
        <f aca="true" t="shared" si="47" ref="G113:H113">G114</f>
        <v>0</v>
      </c>
      <c r="H113" s="69">
        <f t="shared" si="47"/>
        <v>0</v>
      </c>
    </row>
    <row r="114" spans="1:8" ht="33">
      <c r="A114" s="67" t="s">
        <v>25</v>
      </c>
      <c r="B114" s="67" t="s">
        <v>10</v>
      </c>
      <c r="C114" s="67" t="s">
        <v>518</v>
      </c>
      <c r="D114" s="67" t="s">
        <v>96</v>
      </c>
      <c r="E114" s="68" t="s">
        <v>342</v>
      </c>
      <c r="F114" s="69">
        <f>16430.2+5700+2021.3-8272.4-91.9-100-4267-557.2-403.5-100-100-4167.2</f>
        <v>6092.3</v>
      </c>
      <c r="G114" s="69">
        <v>0</v>
      </c>
      <c r="H114" s="69">
        <v>0</v>
      </c>
    </row>
    <row r="115" spans="1:8" ht="66">
      <c r="A115" s="67" t="s">
        <v>25</v>
      </c>
      <c r="B115" s="67" t="s">
        <v>10</v>
      </c>
      <c r="C115" s="232" t="s">
        <v>520</v>
      </c>
      <c r="D115" s="231" t="s">
        <v>93</v>
      </c>
      <c r="E115" s="68" t="s">
        <v>370</v>
      </c>
      <c r="F115" s="69">
        <f>F122+F118+F120+F116</f>
        <v>48700.3</v>
      </c>
      <c r="G115" s="69">
        <f aca="true" t="shared" si="48" ref="G115:H115">G122+G118+G120+G116</f>
        <v>0</v>
      </c>
      <c r="H115" s="69">
        <f t="shared" si="48"/>
        <v>0</v>
      </c>
    </row>
    <row r="116" spans="1:8" ht="66">
      <c r="A116" s="67" t="s">
        <v>25</v>
      </c>
      <c r="B116" s="67" t="s">
        <v>10</v>
      </c>
      <c r="C116" s="67" t="s">
        <v>592</v>
      </c>
      <c r="D116" s="231"/>
      <c r="E116" s="68" t="s">
        <v>597</v>
      </c>
      <c r="F116" s="69">
        <f>F117</f>
        <v>36095.4</v>
      </c>
      <c r="G116" s="69">
        <f aca="true" t="shared" si="49" ref="G116:H116">G117</f>
        <v>0</v>
      </c>
      <c r="H116" s="69">
        <f t="shared" si="49"/>
        <v>0</v>
      </c>
    </row>
    <row r="117" spans="1:8" ht="33">
      <c r="A117" s="67" t="s">
        <v>25</v>
      </c>
      <c r="B117" s="67" t="s">
        <v>10</v>
      </c>
      <c r="C117" s="67" t="s">
        <v>592</v>
      </c>
      <c r="D117" s="67" t="s">
        <v>96</v>
      </c>
      <c r="E117" s="68" t="s">
        <v>342</v>
      </c>
      <c r="F117" s="69">
        <f>30537.6+5557.8</f>
        <v>36095.4</v>
      </c>
      <c r="G117" s="69">
        <v>0</v>
      </c>
      <c r="H117" s="69">
        <v>0</v>
      </c>
    </row>
    <row r="118" spans="1:8" ht="33">
      <c r="A118" s="67" t="s">
        <v>25</v>
      </c>
      <c r="B118" s="67" t="s">
        <v>10</v>
      </c>
      <c r="C118" s="67" t="s">
        <v>539</v>
      </c>
      <c r="D118" s="231"/>
      <c r="E118" s="68" t="s">
        <v>534</v>
      </c>
      <c r="F118" s="69">
        <f>F119</f>
        <v>800</v>
      </c>
      <c r="G118" s="69">
        <f aca="true" t="shared" si="50" ref="G118:H118">G119</f>
        <v>0</v>
      </c>
      <c r="H118" s="69">
        <f t="shared" si="50"/>
        <v>0</v>
      </c>
    </row>
    <row r="119" spans="1:8" ht="33">
      <c r="A119" s="67" t="s">
        <v>25</v>
      </c>
      <c r="B119" s="67" t="s">
        <v>10</v>
      </c>
      <c r="C119" s="67" t="s">
        <v>539</v>
      </c>
      <c r="D119" s="67" t="s">
        <v>96</v>
      </c>
      <c r="E119" s="68" t="s">
        <v>342</v>
      </c>
      <c r="F119" s="69">
        <v>800</v>
      </c>
      <c r="G119" s="69">
        <v>0</v>
      </c>
      <c r="H119" s="69">
        <v>0</v>
      </c>
    </row>
    <row r="120" spans="1:8" ht="33">
      <c r="A120" s="67" t="s">
        <v>25</v>
      </c>
      <c r="B120" s="67" t="s">
        <v>10</v>
      </c>
      <c r="C120" s="67" t="s">
        <v>538</v>
      </c>
      <c r="D120" s="231"/>
      <c r="E120" s="68" t="s">
        <v>535</v>
      </c>
      <c r="F120" s="69">
        <f>F121</f>
        <v>1172.1</v>
      </c>
      <c r="G120" s="69">
        <f aca="true" t="shared" si="51" ref="G120:H120">G121</f>
        <v>0</v>
      </c>
      <c r="H120" s="69">
        <f t="shared" si="51"/>
        <v>0</v>
      </c>
    </row>
    <row r="121" spans="1:8" ht="33">
      <c r="A121" s="67" t="s">
        <v>25</v>
      </c>
      <c r="B121" s="67" t="s">
        <v>10</v>
      </c>
      <c r="C121" s="67" t="s">
        <v>538</v>
      </c>
      <c r="D121" s="67" t="s">
        <v>96</v>
      </c>
      <c r="E121" s="68" t="s">
        <v>342</v>
      </c>
      <c r="F121" s="69">
        <v>1172.1</v>
      </c>
      <c r="G121" s="69">
        <v>0</v>
      </c>
      <c r="H121" s="69">
        <v>0</v>
      </c>
    </row>
    <row r="122" spans="1:8" ht="82.5">
      <c r="A122" s="67" t="s">
        <v>25</v>
      </c>
      <c r="B122" s="67" t="s">
        <v>10</v>
      </c>
      <c r="C122" s="67" t="s">
        <v>519</v>
      </c>
      <c r="D122" s="67" t="s">
        <v>93</v>
      </c>
      <c r="E122" s="68" t="s">
        <v>598</v>
      </c>
      <c r="F122" s="69">
        <f>F123</f>
        <v>10632.8</v>
      </c>
      <c r="G122" s="69">
        <f aca="true" t="shared" si="52" ref="G122:H122">G123</f>
        <v>0</v>
      </c>
      <c r="H122" s="69">
        <f t="shared" si="52"/>
        <v>0</v>
      </c>
    </row>
    <row r="123" spans="1:8" ht="33">
      <c r="A123" s="67" t="s">
        <v>25</v>
      </c>
      <c r="B123" s="67" t="s">
        <v>10</v>
      </c>
      <c r="C123" s="67" t="s">
        <v>519</v>
      </c>
      <c r="D123" s="67" t="s">
        <v>96</v>
      </c>
      <c r="E123" s="68" t="s">
        <v>342</v>
      </c>
      <c r="F123" s="69">
        <f>5200+3534+1745.3+153.5</f>
        <v>10632.8</v>
      </c>
      <c r="G123" s="69">
        <v>0</v>
      </c>
      <c r="H123" s="69">
        <v>0</v>
      </c>
    </row>
    <row r="124" spans="1:8" ht="49.5">
      <c r="A124" s="67" t="s">
        <v>25</v>
      </c>
      <c r="B124" s="15" t="s">
        <v>10</v>
      </c>
      <c r="C124" s="6" t="s">
        <v>553</v>
      </c>
      <c r="D124" s="180"/>
      <c r="E124" s="5" t="s">
        <v>554</v>
      </c>
      <c r="F124" s="69">
        <f>F125</f>
        <v>77.3</v>
      </c>
      <c r="G124" s="69">
        <f aca="true" t="shared" si="53" ref="G124:H125">G125</f>
        <v>0</v>
      </c>
      <c r="H124" s="69">
        <f t="shared" si="53"/>
        <v>0</v>
      </c>
    </row>
    <row r="125" spans="1:8" ht="49.5">
      <c r="A125" s="67" t="s">
        <v>25</v>
      </c>
      <c r="B125" s="15" t="s">
        <v>10</v>
      </c>
      <c r="C125" s="6" t="s">
        <v>555</v>
      </c>
      <c r="D125" s="180"/>
      <c r="E125" s="5" t="s">
        <v>556</v>
      </c>
      <c r="F125" s="69">
        <f>F126</f>
        <v>77.3</v>
      </c>
      <c r="G125" s="69">
        <f t="shared" si="53"/>
        <v>0</v>
      </c>
      <c r="H125" s="69">
        <f t="shared" si="53"/>
        <v>0</v>
      </c>
    </row>
    <row r="126" spans="1:8" ht="33">
      <c r="A126" s="67" t="s">
        <v>25</v>
      </c>
      <c r="B126" s="15" t="s">
        <v>10</v>
      </c>
      <c r="C126" s="6" t="s">
        <v>555</v>
      </c>
      <c r="D126" s="180" t="s">
        <v>96</v>
      </c>
      <c r="E126" s="5" t="s">
        <v>557</v>
      </c>
      <c r="F126" s="69">
        <f>150-72.7</f>
        <v>77.3</v>
      </c>
      <c r="G126" s="69">
        <v>0</v>
      </c>
      <c r="H126" s="69">
        <v>0</v>
      </c>
    </row>
    <row r="127" spans="1:8" ht="49.5">
      <c r="A127" s="67" t="s">
        <v>25</v>
      </c>
      <c r="B127" s="67" t="s">
        <v>10</v>
      </c>
      <c r="C127" s="67" t="s">
        <v>227</v>
      </c>
      <c r="D127" s="67" t="s">
        <v>93</v>
      </c>
      <c r="E127" s="68" t="s">
        <v>371</v>
      </c>
      <c r="F127" s="69">
        <f>F128</f>
        <v>3928</v>
      </c>
      <c r="G127" s="69">
        <f aca="true" t="shared" si="54" ref="G127:H127">G128</f>
        <v>3500</v>
      </c>
      <c r="H127" s="69">
        <f t="shared" si="54"/>
        <v>0</v>
      </c>
    </row>
    <row r="128" spans="1:8" ht="66">
      <c r="A128" s="67" t="s">
        <v>25</v>
      </c>
      <c r="B128" s="67" t="s">
        <v>10</v>
      </c>
      <c r="C128" s="67" t="s">
        <v>372</v>
      </c>
      <c r="D128" s="231" t="s">
        <v>93</v>
      </c>
      <c r="E128" s="68" t="s">
        <v>373</v>
      </c>
      <c r="F128" s="69">
        <f>F129+F133+F131</f>
        <v>3928</v>
      </c>
      <c r="G128" s="69">
        <f aca="true" t="shared" si="55" ref="G128:H128">G129+G133+G131</f>
        <v>3500</v>
      </c>
      <c r="H128" s="69">
        <f t="shared" si="55"/>
        <v>0</v>
      </c>
    </row>
    <row r="129" spans="1:8" ht="33">
      <c r="A129" s="67" t="s">
        <v>25</v>
      </c>
      <c r="B129" s="67" t="s">
        <v>10</v>
      </c>
      <c r="C129" s="67" t="s">
        <v>228</v>
      </c>
      <c r="D129" s="67" t="s">
        <v>93</v>
      </c>
      <c r="E129" s="68" t="s">
        <v>374</v>
      </c>
      <c r="F129" s="69">
        <f>F130</f>
        <v>3500</v>
      </c>
      <c r="G129" s="69">
        <f aca="true" t="shared" si="56" ref="G129:H129">G130</f>
        <v>3500</v>
      </c>
      <c r="H129" s="69">
        <f t="shared" si="56"/>
        <v>0</v>
      </c>
    </row>
    <row r="130" spans="1:8" ht="33">
      <c r="A130" s="67" t="s">
        <v>25</v>
      </c>
      <c r="B130" s="67" t="s">
        <v>10</v>
      </c>
      <c r="C130" s="67" t="s">
        <v>228</v>
      </c>
      <c r="D130" s="67" t="s">
        <v>96</v>
      </c>
      <c r="E130" s="68" t="s">
        <v>342</v>
      </c>
      <c r="F130" s="69">
        <v>3500</v>
      </c>
      <c r="G130" s="69">
        <v>3500</v>
      </c>
      <c r="H130" s="69">
        <v>0</v>
      </c>
    </row>
    <row r="131" spans="1:8" ht="33">
      <c r="A131" s="67" t="s">
        <v>25</v>
      </c>
      <c r="B131" s="67" t="s">
        <v>10</v>
      </c>
      <c r="C131" s="6" t="s">
        <v>616</v>
      </c>
      <c r="D131" s="87"/>
      <c r="E131" s="5" t="s">
        <v>617</v>
      </c>
      <c r="F131" s="69">
        <f>F132</f>
        <v>250.7</v>
      </c>
      <c r="G131" s="69">
        <f aca="true" t="shared" si="57" ref="G131:H131">G132</f>
        <v>0</v>
      </c>
      <c r="H131" s="69">
        <f t="shared" si="57"/>
        <v>0</v>
      </c>
    </row>
    <row r="132" spans="1:8" ht="33">
      <c r="A132" s="67" t="s">
        <v>25</v>
      </c>
      <c r="B132" s="67" t="s">
        <v>10</v>
      </c>
      <c r="C132" s="67" t="s">
        <v>616</v>
      </c>
      <c r="D132" s="67" t="s">
        <v>96</v>
      </c>
      <c r="E132" s="68" t="s">
        <v>342</v>
      </c>
      <c r="F132" s="69">
        <f>252-1.3</f>
        <v>250.7</v>
      </c>
      <c r="G132" s="69">
        <v>0</v>
      </c>
      <c r="H132" s="69">
        <v>0</v>
      </c>
    </row>
    <row r="133" spans="1:8" ht="33">
      <c r="A133" s="67" t="s">
        <v>25</v>
      </c>
      <c r="B133" s="67" t="s">
        <v>10</v>
      </c>
      <c r="C133" s="67" t="s">
        <v>611</v>
      </c>
      <c r="D133" s="67" t="s">
        <v>93</v>
      </c>
      <c r="E133" s="68" t="s">
        <v>612</v>
      </c>
      <c r="F133" s="69">
        <f>F134</f>
        <v>177.3</v>
      </c>
      <c r="G133" s="69">
        <f aca="true" t="shared" si="58" ref="G133:H133">G134</f>
        <v>0</v>
      </c>
      <c r="H133" s="69">
        <f t="shared" si="58"/>
        <v>0</v>
      </c>
    </row>
    <row r="134" spans="1:8" ht="33">
      <c r="A134" s="67" t="s">
        <v>25</v>
      </c>
      <c r="B134" s="67" t="s">
        <v>10</v>
      </c>
      <c r="C134" s="67" t="s">
        <v>611</v>
      </c>
      <c r="D134" s="67" t="s">
        <v>96</v>
      </c>
      <c r="E134" s="68" t="s">
        <v>342</v>
      </c>
      <c r="F134" s="69">
        <f>180-2.7</f>
        <v>177.3</v>
      </c>
      <c r="G134" s="69">
        <v>0</v>
      </c>
      <c r="H134" s="69">
        <v>0</v>
      </c>
    </row>
    <row r="135" spans="1:8" ht="12.75">
      <c r="A135" s="67" t="s">
        <v>25</v>
      </c>
      <c r="B135" s="67" t="s">
        <v>74</v>
      </c>
      <c r="C135" s="67" t="s">
        <v>93</v>
      </c>
      <c r="D135" s="67" t="s">
        <v>93</v>
      </c>
      <c r="E135" s="68" t="s">
        <v>49</v>
      </c>
      <c r="F135" s="69">
        <f>F136</f>
        <v>575.9</v>
      </c>
      <c r="G135" s="69">
        <f aca="true" t="shared" si="59" ref="G135:H135">G136</f>
        <v>243</v>
      </c>
      <c r="H135" s="69">
        <f t="shared" si="59"/>
        <v>247.9</v>
      </c>
    </row>
    <row r="136" spans="1:8" ht="66">
      <c r="A136" s="67" t="s">
        <v>25</v>
      </c>
      <c r="B136" s="67" t="s">
        <v>74</v>
      </c>
      <c r="C136" s="67" t="s">
        <v>229</v>
      </c>
      <c r="D136" s="67" t="s">
        <v>93</v>
      </c>
      <c r="E136" s="68" t="s">
        <v>375</v>
      </c>
      <c r="F136" s="69">
        <f>F137+F146</f>
        <v>575.9</v>
      </c>
      <c r="G136" s="69">
        <f aca="true" t="shared" si="60" ref="G136:H136">G137+G146</f>
        <v>243</v>
      </c>
      <c r="H136" s="69">
        <f t="shared" si="60"/>
        <v>247.9</v>
      </c>
    </row>
    <row r="137" spans="1:8" ht="49.5">
      <c r="A137" s="67" t="s">
        <v>25</v>
      </c>
      <c r="B137" s="67" t="s">
        <v>74</v>
      </c>
      <c r="C137" s="67" t="s">
        <v>230</v>
      </c>
      <c r="D137" s="67" t="s">
        <v>93</v>
      </c>
      <c r="E137" s="68" t="s">
        <v>164</v>
      </c>
      <c r="F137" s="69">
        <f>F138+F143</f>
        <v>65.3</v>
      </c>
      <c r="G137" s="69">
        <f aca="true" t="shared" si="61" ref="G137:H137">G138+G143</f>
        <v>66.5</v>
      </c>
      <c r="H137" s="69">
        <f t="shared" si="61"/>
        <v>67.9</v>
      </c>
    </row>
    <row r="138" spans="1:8" ht="33">
      <c r="A138" s="67" t="s">
        <v>25</v>
      </c>
      <c r="B138" s="67" t="s">
        <v>74</v>
      </c>
      <c r="C138" s="67" t="s">
        <v>376</v>
      </c>
      <c r="D138" s="231" t="s">
        <v>93</v>
      </c>
      <c r="E138" s="68" t="s">
        <v>377</v>
      </c>
      <c r="F138" s="69">
        <f>F139+F141</f>
        <v>60</v>
      </c>
      <c r="G138" s="69">
        <f aca="true" t="shared" si="62" ref="G138:H138">G139+G141</f>
        <v>61.2</v>
      </c>
      <c r="H138" s="69">
        <f t="shared" si="62"/>
        <v>62.5</v>
      </c>
    </row>
    <row r="139" spans="1:8" ht="49.5">
      <c r="A139" s="67" t="s">
        <v>25</v>
      </c>
      <c r="B139" s="67" t="s">
        <v>74</v>
      </c>
      <c r="C139" s="67" t="s">
        <v>231</v>
      </c>
      <c r="D139" s="67" t="s">
        <v>93</v>
      </c>
      <c r="E139" s="68" t="s">
        <v>165</v>
      </c>
      <c r="F139" s="69">
        <f>F140</f>
        <v>26</v>
      </c>
      <c r="G139" s="69">
        <f aca="true" t="shared" si="63" ref="G139:H139">G140</f>
        <v>27.5</v>
      </c>
      <c r="H139" s="69">
        <f t="shared" si="63"/>
        <v>28.1</v>
      </c>
    </row>
    <row r="140" spans="1:8" ht="33">
      <c r="A140" s="67" t="s">
        <v>25</v>
      </c>
      <c r="B140" s="67" t="s">
        <v>74</v>
      </c>
      <c r="C140" s="67" t="s">
        <v>231</v>
      </c>
      <c r="D140" s="67" t="s">
        <v>96</v>
      </c>
      <c r="E140" s="68" t="s">
        <v>342</v>
      </c>
      <c r="F140" s="69">
        <f>27-1</f>
        <v>26</v>
      </c>
      <c r="G140" s="69">
        <v>27.5</v>
      </c>
      <c r="H140" s="69">
        <v>28.1</v>
      </c>
    </row>
    <row r="141" spans="1:8" ht="49.5">
      <c r="A141" s="67" t="s">
        <v>25</v>
      </c>
      <c r="B141" s="67" t="s">
        <v>74</v>
      </c>
      <c r="C141" s="67" t="s">
        <v>378</v>
      </c>
      <c r="D141" s="67" t="s">
        <v>93</v>
      </c>
      <c r="E141" s="68" t="s">
        <v>499</v>
      </c>
      <c r="F141" s="69">
        <f>F142</f>
        <v>34</v>
      </c>
      <c r="G141" s="69">
        <f aca="true" t="shared" si="64" ref="G141:H141">G142</f>
        <v>33.7</v>
      </c>
      <c r="H141" s="69">
        <f t="shared" si="64"/>
        <v>34.4</v>
      </c>
    </row>
    <row r="142" spans="1:8" ht="33">
      <c r="A142" s="67" t="s">
        <v>25</v>
      </c>
      <c r="B142" s="67" t="s">
        <v>74</v>
      </c>
      <c r="C142" s="67" t="s">
        <v>378</v>
      </c>
      <c r="D142" s="67" t="s">
        <v>96</v>
      </c>
      <c r="E142" s="68" t="s">
        <v>342</v>
      </c>
      <c r="F142" s="69">
        <f>33+17.2-16.2</f>
        <v>34</v>
      </c>
      <c r="G142" s="69">
        <v>33.7</v>
      </c>
      <c r="H142" s="69">
        <v>34.4</v>
      </c>
    </row>
    <row r="143" spans="1:8" ht="33">
      <c r="A143" s="67" t="s">
        <v>25</v>
      </c>
      <c r="B143" s="67" t="s">
        <v>74</v>
      </c>
      <c r="C143" s="67" t="s">
        <v>379</v>
      </c>
      <c r="D143" s="231" t="s">
        <v>93</v>
      </c>
      <c r="E143" s="68" t="s">
        <v>380</v>
      </c>
      <c r="F143" s="69">
        <f>F144</f>
        <v>5.3</v>
      </c>
      <c r="G143" s="69">
        <f aca="true" t="shared" si="65" ref="G143:H144">G144</f>
        <v>5.3</v>
      </c>
      <c r="H143" s="69">
        <f t="shared" si="65"/>
        <v>5.4</v>
      </c>
    </row>
    <row r="144" spans="1:8" ht="129" customHeight="1">
      <c r="A144" s="67" t="s">
        <v>25</v>
      </c>
      <c r="B144" s="67" t="s">
        <v>74</v>
      </c>
      <c r="C144" s="67" t="s">
        <v>232</v>
      </c>
      <c r="D144" s="67" t="s">
        <v>93</v>
      </c>
      <c r="E144" s="68" t="s">
        <v>381</v>
      </c>
      <c r="F144" s="69">
        <f>F145</f>
        <v>5.3</v>
      </c>
      <c r="G144" s="69">
        <f t="shared" si="65"/>
        <v>5.3</v>
      </c>
      <c r="H144" s="69">
        <f t="shared" si="65"/>
        <v>5.4</v>
      </c>
    </row>
    <row r="145" spans="1:8" ht="33">
      <c r="A145" s="67" t="s">
        <v>25</v>
      </c>
      <c r="B145" s="67" t="s">
        <v>74</v>
      </c>
      <c r="C145" s="67" t="s">
        <v>232</v>
      </c>
      <c r="D145" s="67" t="s">
        <v>96</v>
      </c>
      <c r="E145" s="68" t="s">
        <v>342</v>
      </c>
      <c r="F145" s="69">
        <v>5.3</v>
      </c>
      <c r="G145" s="69">
        <v>5.3</v>
      </c>
      <c r="H145" s="69">
        <v>5.4</v>
      </c>
    </row>
    <row r="146" spans="1:8" ht="33">
      <c r="A146" s="67" t="s">
        <v>25</v>
      </c>
      <c r="B146" s="67" t="s">
        <v>74</v>
      </c>
      <c r="C146" s="67" t="s">
        <v>233</v>
      </c>
      <c r="D146" s="67" t="s">
        <v>93</v>
      </c>
      <c r="E146" s="68" t="s">
        <v>166</v>
      </c>
      <c r="F146" s="69">
        <f>F147</f>
        <v>510.59999999999997</v>
      </c>
      <c r="G146" s="69">
        <f aca="true" t="shared" si="66" ref="G146:H146">G147</f>
        <v>176.5</v>
      </c>
      <c r="H146" s="69">
        <f t="shared" si="66"/>
        <v>180</v>
      </c>
    </row>
    <row r="147" spans="1:8" ht="33">
      <c r="A147" s="67" t="s">
        <v>25</v>
      </c>
      <c r="B147" s="67" t="s">
        <v>74</v>
      </c>
      <c r="C147" s="67" t="s">
        <v>382</v>
      </c>
      <c r="D147" s="231" t="s">
        <v>93</v>
      </c>
      <c r="E147" s="68" t="s">
        <v>383</v>
      </c>
      <c r="F147" s="69">
        <f>F148+F150</f>
        <v>510.59999999999997</v>
      </c>
      <c r="G147" s="69">
        <f aca="true" t="shared" si="67" ref="G147:H147">G148+G150</f>
        <v>176.5</v>
      </c>
      <c r="H147" s="69">
        <f t="shared" si="67"/>
        <v>180</v>
      </c>
    </row>
    <row r="148" spans="1:8" ht="33">
      <c r="A148" s="67" t="s">
        <v>25</v>
      </c>
      <c r="B148" s="67" t="s">
        <v>74</v>
      </c>
      <c r="C148" s="67" t="s">
        <v>234</v>
      </c>
      <c r="D148" s="67" t="s">
        <v>93</v>
      </c>
      <c r="E148" s="68" t="s">
        <v>167</v>
      </c>
      <c r="F148" s="69">
        <f>F149</f>
        <v>379.79999999999995</v>
      </c>
      <c r="G148" s="69">
        <f aca="true" t="shared" si="68" ref="G148:H148">G149</f>
        <v>31.4</v>
      </c>
      <c r="H148" s="69">
        <f t="shared" si="68"/>
        <v>32</v>
      </c>
    </row>
    <row r="149" spans="1:8" ht="33">
      <c r="A149" s="67" t="s">
        <v>25</v>
      </c>
      <c r="B149" s="67" t="s">
        <v>74</v>
      </c>
      <c r="C149" s="67" t="s">
        <v>234</v>
      </c>
      <c r="D149" s="67" t="s">
        <v>96</v>
      </c>
      <c r="E149" s="68" t="s">
        <v>342</v>
      </c>
      <c r="F149" s="69">
        <f>30.7+435.5-86.4</f>
        <v>379.79999999999995</v>
      </c>
      <c r="G149" s="69">
        <v>31.4</v>
      </c>
      <c r="H149" s="69">
        <v>32</v>
      </c>
    </row>
    <row r="150" spans="1:8" ht="49.5">
      <c r="A150" s="67" t="s">
        <v>25</v>
      </c>
      <c r="B150" s="67" t="s">
        <v>74</v>
      </c>
      <c r="C150" s="67" t="s">
        <v>235</v>
      </c>
      <c r="D150" s="67" t="s">
        <v>93</v>
      </c>
      <c r="E150" s="68" t="s">
        <v>168</v>
      </c>
      <c r="F150" s="69">
        <f>F151</f>
        <v>130.8</v>
      </c>
      <c r="G150" s="69">
        <f aca="true" t="shared" si="69" ref="G150:H150">G151</f>
        <v>145.1</v>
      </c>
      <c r="H150" s="69">
        <f t="shared" si="69"/>
        <v>148</v>
      </c>
    </row>
    <row r="151" spans="1:8" ht="12.75">
      <c r="A151" s="67" t="s">
        <v>25</v>
      </c>
      <c r="B151" s="67" t="s">
        <v>74</v>
      </c>
      <c r="C151" s="67" t="s">
        <v>235</v>
      </c>
      <c r="D151" s="67" t="s">
        <v>97</v>
      </c>
      <c r="E151" s="68" t="s">
        <v>98</v>
      </c>
      <c r="F151" s="69">
        <f>142.3-11.5</f>
        <v>130.8</v>
      </c>
      <c r="G151" s="69">
        <v>145.1</v>
      </c>
      <c r="H151" s="69">
        <v>148</v>
      </c>
    </row>
    <row r="152" spans="1:8" ht="12.75">
      <c r="A152" s="67" t="s">
        <v>25</v>
      </c>
      <c r="B152" s="67" t="s">
        <v>84</v>
      </c>
      <c r="C152" s="67" t="s">
        <v>93</v>
      </c>
      <c r="D152" s="67" t="s">
        <v>93</v>
      </c>
      <c r="E152" s="21" t="s">
        <v>50</v>
      </c>
      <c r="F152" s="69">
        <f>F153+F163</f>
        <v>25808.600000000006</v>
      </c>
      <c r="G152" s="69">
        <f>G153+G163</f>
        <v>23360.8</v>
      </c>
      <c r="H152" s="69">
        <f>H153+H163</f>
        <v>14653.3</v>
      </c>
    </row>
    <row r="153" spans="1:8" ht="12.75">
      <c r="A153" s="67" t="s">
        <v>25</v>
      </c>
      <c r="B153" s="67" t="s">
        <v>75</v>
      </c>
      <c r="C153" s="67" t="s">
        <v>93</v>
      </c>
      <c r="D153" s="67" t="s">
        <v>93</v>
      </c>
      <c r="E153" s="68" t="s">
        <v>51</v>
      </c>
      <c r="F153" s="69">
        <f>F154</f>
        <v>3521</v>
      </c>
      <c r="G153" s="69">
        <f aca="true" t="shared" si="70" ref="G153:H154">G154</f>
        <v>9000</v>
      </c>
      <c r="H153" s="69">
        <f t="shared" si="70"/>
        <v>0</v>
      </c>
    </row>
    <row r="154" spans="1:8" ht="49.5">
      <c r="A154" s="67" t="s">
        <v>25</v>
      </c>
      <c r="B154" s="67" t="s">
        <v>75</v>
      </c>
      <c r="C154" s="67" t="s">
        <v>219</v>
      </c>
      <c r="D154" s="67" t="s">
        <v>93</v>
      </c>
      <c r="E154" s="68" t="s">
        <v>360</v>
      </c>
      <c r="F154" s="69">
        <f>F155</f>
        <v>3521</v>
      </c>
      <c r="G154" s="69">
        <f t="shared" si="70"/>
        <v>9000</v>
      </c>
      <c r="H154" s="69">
        <f t="shared" si="70"/>
        <v>0</v>
      </c>
    </row>
    <row r="155" spans="1:8" ht="49.5">
      <c r="A155" s="67" t="s">
        <v>25</v>
      </c>
      <c r="B155" s="67" t="s">
        <v>75</v>
      </c>
      <c r="C155" s="67" t="s">
        <v>384</v>
      </c>
      <c r="D155" s="67" t="s">
        <v>93</v>
      </c>
      <c r="E155" s="68" t="s">
        <v>385</v>
      </c>
      <c r="F155" s="69">
        <f>F156</f>
        <v>3521</v>
      </c>
      <c r="G155" s="69">
        <f aca="true" t="shared" si="71" ref="G155:H155">G156</f>
        <v>9000</v>
      </c>
      <c r="H155" s="69">
        <f t="shared" si="71"/>
        <v>0</v>
      </c>
    </row>
    <row r="156" spans="1:8" ht="33">
      <c r="A156" s="67" t="s">
        <v>25</v>
      </c>
      <c r="B156" s="67" t="s">
        <v>75</v>
      </c>
      <c r="C156" s="67" t="s">
        <v>386</v>
      </c>
      <c r="D156" s="231" t="s">
        <v>93</v>
      </c>
      <c r="E156" s="68" t="s">
        <v>387</v>
      </c>
      <c r="F156" s="69">
        <f>F157+F161+F159</f>
        <v>3521</v>
      </c>
      <c r="G156" s="69">
        <f aca="true" t="shared" si="72" ref="G156:H156">G157+G161+G159</f>
        <v>9000</v>
      </c>
      <c r="H156" s="69">
        <f t="shared" si="72"/>
        <v>0</v>
      </c>
    </row>
    <row r="157" spans="1:8" ht="49.5">
      <c r="A157" s="67" t="s">
        <v>25</v>
      </c>
      <c r="B157" s="67" t="s">
        <v>75</v>
      </c>
      <c r="C157" s="67" t="s">
        <v>388</v>
      </c>
      <c r="D157" s="67" t="s">
        <v>93</v>
      </c>
      <c r="E157" s="68" t="s">
        <v>389</v>
      </c>
      <c r="F157" s="69">
        <f>F158</f>
        <v>0</v>
      </c>
      <c r="G157" s="69">
        <f aca="true" t="shared" si="73" ref="G157:H157">G158</f>
        <v>9000</v>
      </c>
      <c r="H157" s="69">
        <f t="shared" si="73"/>
        <v>0</v>
      </c>
    </row>
    <row r="158" spans="1:8" ht="49.5">
      <c r="A158" s="67" t="s">
        <v>25</v>
      </c>
      <c r="B158" s="67" t="s">
        <v>75</v>
      </c>
      <c r="C158" s="67" t="s">
        <v>388</v>
      </c>
      <c r="D158" s="67" t="s">
        <v>99</v>
      </c>
      <c r="E158" s="68" t="s">
        <v>390</v>
      </c>
      <c r="F158" s="69">
        <f>15848.1-5000-9402.4-1445.7</f>
        <v>0</v>
      </c>
      <c r="G158" s="69">
        <v>9000</v>
      </c>
      <c r="H158" s="69">
        <v>0</v>
      </c>
    </row>
    <row r="159" spans="1:8" ht="12.75">
      <c r="A159" s="67" t="s">
        <v>25</v>
      </c>
      <c r="B159" s="67" t="s">
        <v>75</v>
      </c>
      <c r="C159" s="67" t="s">
        <v>509</v>
      </c>
      <c r="D159" s="67" t="s">
        <v>93</v>
      </c>
      <c r="E159" s="68" t="s">
        <v>510</v>
      </c>
      <c r="F159" s="69">
        <f>F160</f>
        <v>198</v>
      </c>
      <c r="G159" s="69">
        <f aca="true" t="shared" si="74" ref="G159:H159">G160</f>
        <v>0</v>
      </c>
      <c r="H159" s="69">
        <f t="shared" si="74"/>
        <v>0</v>
      </c>
    </row>
    <row r="160" spans="1:8" ht="49.5">
      <c r="A160" s="67" t="s">
        <v>25</v>
      </c>
      <c r="B160" s="67" t="s">
        <v>75</v>
      </c>
      <c r="C160" s="67" t="s">
        <v>509</v>
      </c>
      <c r="D160" s="67" t="s">
        <v>99</v>
      </c>
      <c r="E160" s="68" t="s">
        <v>390</v>
      </c>
      <c r="F160" s="69">
        <v>198</v>
      </c>
      <c r="G160" s="69">
        <v>0</v>
      </c>
      <c r="H160" s="69">
        <v>0</v>
      </c>
    </row>
    <row r="161" spans="1:8" ht="12.75">
      <c r="A161" s="67" t="s">
        <v>25</v>
      </c>
      <c r="B161" s="67" t="s">
        <v>75</v>
      </c>
      <c r="C161" s="67" t="s">
        <v>391</v>
      </c>
      <c r="D161" s="67" t="s">
        <v>93</v>
      </c>
      <c r="E161" s="68" t="s">
        <v>392</v>
      </c>
      <c r="F161" s="69">
        <f>F162</f>
        <v>3323</v>
      </c>
      <c r="G161" s="69">
        <f aca="true" t="shared" si="75" ref="G161:H161">G162</f>
        <v>0</v>
      </c>
      <c r="H161" s="69">
        <f t="shared" si="75"/>
        <v>0</v>
      </c>
    </row>
    <row r="162" spans="1:8" ht="33">
      <c r="A162" s="67" t="s">
        <v>25</v>
      </c>
      <c r="B162" s="67" t="s">
        <v>75</v>
      </c>
      <c r="C162" s="67" t="s">
        <v>391</v>
      </c>
      <c r="D162" s="67" t="s">
        <v>96</v>
      </c>
      <c r="E162" s="68" t="s">
        <v>342</v>
      </c>
      <c r="F162" s="69">
        <f>10550+700-500-7427</f>
        <v>3323</v>
      </c>
      <c r="G162" s="69">
        <v>0</v>
      </c>
      <c r="H162" s="69">
        <v>0</v>
      </c>
    </row>
    <row r="163" spans="1:8" ht="12.75">
      <c r="A163" s="67" t="s">
        <v>25</v>
      </c>
      <c r="B163" s="67" t="s">
        <v>76</v>
      </c>
      <c r="C163" s="67" t="s">
        <v>93</v>
      </c>
      <c r="D163" s="67" t="s">
        <v>93</v>
      </c>
      <c r="E163" s="68" t="s">
        <v>52</v>
      </c>
      <c r="F163" s="69">
        <f>F164+F188</f>
        <v>22287.600000000006</v>
      </c>
      <c r="G163" s="69">
        <f aca="true" t="shared" si="76" ref="G163:H163">G164+G188</f>
        <v>14360.8</v>
      </c>
      <c r="H163" s="69">
        <f t="shared" si="76"/>
        <v>14653.3</v>
      </c>
    </row>
    <row r="164" spans="1:8" ht="60.6" customHeight="1">
      <c r="A164" s="67" t="s">
        <v>25</v>
      </c>
      <c r="B164" s="67" t="s">
        <v>76</v>
      </c>
      <c r="C164" s="67" t="s">
        <v>219</v>
      </c>
      <c r="D164" s="67" t="s">
        <v>93</v>
      </c>
      <c r="E164" s="68" t="s">
        <v>618</v>
      </c>
      <c r="F164" s="69">
        <f>F165</f>
        <v>21287.600000000006</v>
      </c>
      <c r="G164" s="69">
        <f aca="true" t="shared" si="77" ref="G164:H164">G165</f>
        <v>14360.8</v>
      </c>
      <c r="H164" s="69">
        <f t="shared" si="77"/>
        <v>14653.3</v>
      </c>
    </row>
    <row r="165" spans="1:8" ht="49.5">
      <c r="A165" s="67" t="s">
        <v>25</v>
      </c>
      <c r="B165" s="67" t="s">
        <v>76</v>
      </c>
      <c r="C165" s="67" t="s">
        <v>220</v>
      </c>
      <c r="D165" s="67" t="s">
        <v>93</v>
      </c>
      <c r="E165" s="68" t="s">
        <v>171</v>
      </c>
      <c r="F165" s="69">
        <f>F166+F185</f>
        <v>21287.600000000006</v>
      </c>
      <c r="G165" s="69">
        <f aca="true" t="shared" si="78" ref="G165:H165">G166+G185</f>
        <v>14360.8</v>
      </c>
      <c r="H165" s="69">
        <f t="shared" si="78"/>
        <v>14653.3</v>
      </c>
    </row>
    <row r="166" spans="1:8" ht="33">
      <c r="A166" s="67" t="s">
        <v>25</v>
      </c>
      <c r="B166" s="67" t="s">
        <v>76</v>
      </c>
      <c r="C166" s="67" t="s">
        <v>393</v>
      </c>
      <c r="D166" s="231" t="s">
        <v>93</v>
      </c>
      <c r="E166" s="68" t="s">
        <v>394</v>
      </c>
      <c r="F166" s="69">
        <f>F169+F171+F173+F175+F179+F181+F167+F183+F177</f>
        <v>20522.500000000007</v>
      </c>
      <c r="G166" s="69">
        <f aca="true" t="shared" si="79" ref="G166:H166">G169+G171+G173+G175+G179+G181+G167+G183+G177</f>
        <v>14095</v>
      </c>
      <c r="H166" s="69">
        <f t="shared" si="79"/>
        <v>14349.3</v>
      </c>
    </row>
    <row r="167" spans="1:8" ht="33">
      <c r="A167" s="67" t="s">
        <v>25</v>
      </c>
      <c r="B167" s="67" t="s">
        <v>76</v>
      </c>
      <c r="C167" s="67" t="s">
        <v>533</v>
      </c>
      <c r="D167" s="67" t="s">
        <v>93</v>
      </c>
      <c r="E167" s="68" t="s">
        <v>534</v>
      </c>
      <c r="F167" s="69">
        <f>F168</f>
        <v>677.9</v>
      </c>
      <c r="G167" s="69">
        <f aca="true" t="shared" si="80" ref="G167:H167">G168</f>
        <v>0</v>
      </c>
      <c r="H167" s="69">
        <f t="shared" si="80"/>
        <v>0</v>
      </c>
    </row>
    <row r="168" spans="1:8" ht="33">
      <c r="A168" s="67" t="s">
        <v>25</v>
      </c>
      <c r="B168" s="67" t="s">
        <v>76</v>
      </c>
      <c r="C168" s="67" t="s">
        <v>533</v>
      </c>
      <c r="D168" s="67" t="s">
        <v>96</v>
      </c>
      <c r="E168" s="68" t="s">
        <v>342</v>
      </c>
      <c r="F168" s="69">
        <v>677.9</v>
      </c>
      <c r="G168" s="69">
        <v>0</v>
      </c>
      <c r="H168" s="69">
        <v>0</v>
      </c>
    </row>
    <row r="169" spans="1:8" ht="12.75">
      <c r="A169" s="67" t="s">
        <v>25</v>
      </c>
      <c r="B169" s="67" t="s">
        <v>76</v>
      </c>
      <c r="C169" s="67" t="s">
        <v>237</v>
      </c>
      <c r="D169" s="67" t="s">
        <v>93</v>
      </c>
      <c r="E169" s="68" t="s">
        <v>172</v>
      </c>
      <c r="F169" s="69">
        <f>F170</f>
        <v>13545.6</v>
      </c>
      <c r="G169" s="69">
        <f aca="true" t="shared" si="81" ref="G169:H169">G170</f>
        <v>11166</v>
      </c>
      <c r="H169" s="69">
        <f t="shared" si="81"/>
        <v>11250</v>
      </c>
    </row>
    <row r="170" spans="1:8" ht="33">
      <c r="A170" s="67" t="s">
        <v>25</v>
      </c>
      <c r="B170" s="67" t="s">
        <v>76</v>
      </c>
      <c r="C170" s="67" t="s">
        <v>237</v>
      </c>
      <c r="D170" s="67" t="s">
        <v>96</v>
      </c>
      <c r="E170" s="68" t="s">
        <v>342</v>
      </c>
      <c r="F170" s="69">
        <f>11006+3033.6-494</f>
        <v>13545.6</v>
      </c>
      <c r="G170" s="69">
        <v>11166</v>
      </c>
      <c r="H170" s="69">
        <v>11250</v>
      </c>
    </row>
    <row r="171" spans="1:8" ht="33">
      <c r="A171" s="67" t="s">
        <v>25</v>
      </c>
      <c r="B171" s="67" t="s">
        <v>76</v>
      </c>
      <c r="C171" s="67" t="s">
        <v>238</v>
      </c>
      <c r="D171" s="67" t="s">
        <v>93</v>
      </c>
      <c r="E171" s="68" t="s">
        <v>173</v>
      </c>
      <c r="F171" s="69">
        <f>F172</f>
        <v>1087.7</v>
      </c>
      <c r="G171" s="69">
        <f aca="true" t="shared" si="82" ref="G171:H171">G172</f>
        <v>900</v>
      </c>
      <c r="H171" s="69">
        <f t="shared" si="82"/>
        <v>900</v>
      </c>
    </row>
    <row r="172" spans="1:8" ht="33">
      <c r="A172" s="67" t="s">
        <v>25</v>
      </c>
      <c r="B172" s="67" t="s">
        <v>76</v>
      </c>
      <c r="C172" s="67" t="s">
        <v>238</v>
      </c>
      <c r="D172" s="67" t="s">
        <v>96</v>
      </c>
      <c r="E172" s="68" t="s">
        <v>342</v>
      </c>
      <c r="F172" s="69">
        <f>952.2+167.9-32.4</f>
        <v>1087.7</v>
      </c>
      <c r="G172" s="69">
        <v>900</v>
      </c>
      <c r="H172" s="69">
        <v>900</v>
      </c>
    </row>
    <row r="173" spans="1:8" ht="33">
      <c r="A173" s="67" t="s">
        <v>25</v>
      </c>
      <c r="B173" s="67" t="s">
        <v>76</v>
      </c>
      <c r="C173" s="67" t="s">
        <v>239</v>
      </c>
      <c r="D173" s="67" t="s">
        <v>93</v>
      </c>
      <c r="E173" s="68" t="s">
        <v>174</v>
      </c>
      <c r="F173" s="69">
        <f>F174</f>
        <v>2677.6</v>
      </c>
      <c r="G173" s="69">
        <f aca="true" t="shared" si="83" ref="G173:H173">G174</f>
        <v>1625.1</v>
      </c>
      <c r="H173" s="69">
        <f t="shared" si="83"/>
        <v>1795.4</v>
      </c>
    </row>
    <row r="174" spans="1:8" ht="33">
      <c r="A174" s="67" t="s">
        <v>25</v>
      </c>
      <c r="B174" s="67" t="s">
        <v>76</v>
      </c>
      <c r="C174" s="67" t="s">
        <v>239</v>
      </c>
      <c r="D174" s="67" t="s">
        <v>96</v>
      </c>
      <c r="E174" s="68" t="s">
        <v>342</v>
      </c>
      <c r="F174" s="69">
        <f>1625.1+500+552.5</f>
        <v>2677.6</v>
      </c>
      <c r="G174" s="69">
        <v>1625.1</v>
      </c>
      <c r="H174" s="69">
        <v>1795.4</v>
      </c>
    </row>
    <row r="175" spans="1:8" ht="33">
      <c r="A175" s="67" t="s">
        <v>25</v>
      </c>
      <c r="B175" s="67" t="s">
        <v>76</v>
      </c>
      <c r="C175" s="67" t="s">
        <v>240</v>
      </c>
      <c r="D175" s="67" t="s">
        <v>93</v>
      </c>
      <c r="E175" s="68" t="s">
        <v>395</v>
      </c>
      <c r="F175" s="69">
        <f>F176</f>
        <v>145.9</v>
      </c>
      <c r="G175" s="69">
        <f aca="true" t="shared" si="84" ref="G175:H175">G176</f>
        <v>145.9</v>
      </c>
      <c r="H175" s="69">
        <f t="shared" si="84"/>
        <v>145.9</v>
      </c>
    </row>
    <row r="176" spans="1:8" ht="33">
      <c r="A176" s="67" t="s">
        <v>25</v>
      </c>
      <c r="B176" s="67" t="s">
        <v>76</v>
      </c>
      <c r="C176" s="67" t="s">
        <v>240</v>
      </c>
      <c r="D176" s="67" t="s">
        <v>96</v>
      </c>
      <c r="E176" s="68" t="s">
        <v>342</v>
      </c>
      <c r="F176" s="69">
        <v>145.9</v>
      </c>
      <c r="G176" s="69">
        <v>145.9</v>
      </c>
      <c r="H176" s="69">
        <v>145.9</v>
      </c>
    </row>
    <row r="177" spans="1:8" ht="49.5">
      <c r="A177" s="67" t="s">
        <v>25</v>
      </c>
      <c r="B177" s="67" t="s">
        <v>76</v>
      </c>
      <c r="C177" s="67" t="s">
        <v>558</v>
      </c>
      <c r="D177" s="67" t="s">
        <v>93</v>
      </c>
      <c r="E177" s="68" t="s">
        <v>559</v>
      </c>
      <c r="F177" s="69">
        <f>F178</f>
        <v>258</v>
      </c>
      <c r="G177" s="69">
        <f aca="true" t="shared" si="85" ref="G177:H177">G178</f>
        <v>0</v>
      </c>
      <c r="H177" s="69">
        <f t="shared" si="85"/>
        <v>0</v>
      </c>
    </row>
    <row r="178" spans="1:8" ht="33">
      <c r="A178" s="67" t="s">
        <v>25</v>
      </c>
      <c r="B178" s="67" t="s">
        <v>76</v>
      </c>
      <c r="C178" s="67" t="s">
        <v>558</v>
      </c>
      <c r="D178" s="67" t="s">
        <v>96</v>
      </c>
      <c r="E178" s="68" t="s">
        <v>342</v>
      </c>
      <c r="F178" s="69">
        <v>258</v>
      </c>
      <c r="G178" s="69">
        <v>0</v>
      </c>
      <c r="H178" s="69">
        <v>0</v>
      </c>
    </row>
    <row r="179" spans="1:8" ht="49.5">
      <c r="A179" s="67" t="s">
        <v>25</v>
      </c>
      <c r="B179" s="67" t="s">
        <v>76</v>
      </c>
      <c r="C179" s="67" t="s">
        <v>396</v>
      </c>
      <c r="D179" s="67" t="s">
        <v>93</v>
      </c>
      <c r="E179" s="68" t="s">
        <v>397</v>
      </c>
      <c r="F179" s="69">
        <f>F180</f>
        <v>1133.4000000000005</v>
      </c>
      <c r="G179" s="69">
        <f aca="true" t="shared" si="86" ref="G179:H179">G180</f>
        <v>0</v>
      </c>
      <c r="H179" s="69">
        <f t="shared" si="86"/>
        <v>0</v>
      </c>
    </row>
    <row r="180" spans="1:8" ht="33">
      <c r="A180" s="67" t="s">
        <v>25</v>
      </c>
      <c r="B180" s="67" t="s">
        <v>76</v>
      </c>
      <c r="C180" s="67" t="s">
        <v>396</v>
      </c>
      <c r="D180" s="67" t="s">
        <v>96</v>
      </c>
      <c r="E180" s="68" t="s">
        <v>342</v>
      </c>
      <c r="F180" s="69">
        <f>6000-1542.6-16.4-25.4-3282.2</f>
        <v>1133.4000000000005</v>
      </c>
      <c r="G180" s="69">
        <v>0</v>
      </c>
      <c r="H180" s="69">
        <v>0</v>
      </c>
    </row>
    <row r="181" spans="1:8" ht="33">
      <c r="A181" s="67" t="s">
        <v>25</v>
      </c>
      <c r="B181" s="67" t="s">
        <v>76</v>
      </c>
      <c r="C181" s="67" t="s">
        <v>309</v>
      </c>
      <c r="D181" s="67" t="s">
        <v>93</v>
      </c>
      <c r="E181" s="68" t="s">
        <v>398</v>
      </c>
      <c r="F181" s="69">
        <f>F182</f>
        <v>0</v>
      </c>
      <c r="G181" s="69">
        <f aca="true" t="shared" si="87" ref="G181:H181">G182</f>
        <v>258</v>
      </c>
      <c r="H181" s="69">
        <f t="shared" si="87"/>
        <v>258</v>
      </c>
    </row>
    <row r="182" spans="1:8" ht="33">
      <c r="A182" s="67" t="s">
        <v>25</v>
      </c>
      <c r="B182" s="67" t="s">
        <v>76</v>
      </c>
      <c r="C182" s="67" t="s">
        <v>309</v>
      </c>
      <c r="D182" s="67" t="s">
        <v>96</v>
      </c>
      <c r="E182" s="68" t="s">
        <v>342</v>
      </c>
      <c r="F182" s="69">
        <f>258-258</f>
        <v>0</v>
      </c>
      <c r="G182" s="69">
        <v>258</v>
      </c>
      <c r="H182" s="69">
        <v>258</v>
      </c>
    </row>
    <row r="183" spans="1:8" ht="33">
      <c r="A183" s="67" t="s">
        <v>25</v>
      </c>
      <c r="B183" s="67" t="s">
        <v>76</v>
      </c>
      <c r="C183" s="67" t="s">
        <v>536</v>
      </c>
      <c r="D183" s="67" t="s">
        <v>93</v>
      </c>
      <c r="E183" s="68" t="s">
        <v>535</v>
      </c>
      <c r="F183" s="69">
        <f>F184</f>
        <v>996.3999999999999</v>
      </c>
      <c r="G183" s="69">
        <f aca="true" t="shared" si="88" ref="G183:H183">G184</f>
        <v>0</v>
      </c>
      <c r="H183" s="69">
        <f t="shared" si="88"/>
        <v>0</v>
      </c>
    </row>
    <row r="184" spans="1:8" ht="33">
      <c r="A184" s="67" t="s">
        <v>25</v>
      </c>
      <c r="B184" s="67" t="s">
        <v>76</v>
      </c>
      <c r="C184" s="67" t="s">
        <v>536</v>
      </c>
      <c r="D184" s="67" t="s">
        <v>96</v>
      </c>
      <c r="E184" s="68" t="s">
        <v>342</v>
      </c>
      <c r="F184" s="69">
        <f>1053.1-56.7</f>
        <v>996.3999999999999</v>
      </c>
      <c r="G184" s="69">
        <v>0</v>
      </c>
      <c r="H184" s="69">
        <v>0</v>
      </c>
    </row>
    <row r="185" spans="1:8" ht="66">
      <c r="A185" s="67" t="s">
        <v>25</v>
      </c>
      <c r="B185" s="67" t="s">
        <v>76</v>
      </c>
      <c r="C185" s="67" t="s">
        <v>361</v>
      </c>
      <c r="D185" s="231" t="s">
        <v>93</v>
      </c>
      <c r="E185" s="68" t="s">
        <v>362</v>
      </c>
      <c r="F185" s="69">
        <f>F186</f>
        <v>765.0999999999999</v>
      </c>
      <c r="G185" s="69">
        <f aca="true" t="shared" si="89" ref="G185:H186">G186</f>
        <v>265.8</v>
      </c>
      <c r="H185" s="69">
        <f t="shared" si="89"/>
        <v>304</v>
      </c>
    </row>
    <row r="186" spans="1:8" ht="49.5">
      <c r="A186" s="67" t="s">
        <v>25</v>
      </c>
      <c r="B186" s="67" t="s">
        <v>76</v>
      </c>
      <c r="C186" s="67" t="s">
        <v>241</v>
      </c>
      <c r="D186" s="67" t="s">
        <v>93</v>
      </c>
      <c r="E186" s="68" t="s">
        <v>175</v>
      </c>
      <c r="F186" s="69">
        <f>F187</f>
        <v>765.0999999999999</v>
      </c>
      <c r="G186" s="69">
        <f t="shared" si="89"/>
        <v>265.8</v>
      </c>
      <c r="H186" s="69">
        <f t="shared" si="89"/>
        <v>304</v>
      </c>
    </row>
    <row r="187" spans="1:8" ht="33">
      <c r="A187" s="67" t="s">
        <v>25</v>
      </c>
      <c r="B187" s="67" t="s">
        <v>76</v>
      </c>
      <c r="C187" s="67" t="s">
        <v>241</v>
      </c>
      <c r="D187" s="67" t="s">
        <v>96</v>
      </c>
      <c r="E187" s="68" t="s">
        <v>342</v>
      </c>
      <c r="F187" s="69">
        <f>265.8+500-0.7</f>
        <v>765.0999999999999</v>
      </c>
      <c r="G187" s="69">
        <v>265.8</v>
      </c>
      <c r="H187" s="69">
        <v>304</v>
      </c>
    </row>
    <row r="188" spans="1:8" ht="33">
      <c r="A188" s="67" t="s">
        <v>25</v>
      </c>
      <c r="B188" s="67" t="s">
        <v>76</v>
      </c>
      <c r="C188" s="67" t="s">
        <v>312</v>
      </c>
      <c r="D188" s="67" t="s">
        <v>93</v>
      </c>
      <c r="E188" s="68" t="s">
        <v>429</v>
      </c>
      <c r="F188" s="69">
        <f>F192+F189</f>
        <v>1000</v>
      </c>
      <c r="G188" s="69">
        <f aca="true" t="shared" si="90" ref="G188:H188">G192+G189</f>
        <v>0</v>
      </c>
      <c r="H188" s="69">
        <f t="shared" si="90"/>
        <v>0</v>
      </c>
    </row>
    <row r="189" spans="1:8" ht="12.75">
      <c r="A189" s="67" t="s">
        <v>25</v>
      </c>
      <c r="B189" s="67" t="s">
        <v>76</v>
      </c>
      <c r="C189" s="67" t="s">
        <v>430</v>
      </c>
      <c r="D189" s="67" t="s">
        <v>93</v>
      </c>
      <c r="E189" s="68" t="s">
        <v>13</v>
      </c>
      <c r="F189" s="69">
        <f>F190</f>
        <v>500</v>
      </c>
      <c r="G189" s="69">
        <f aca="true" t="shared" si="91" ref="G189:H190">G190</f>
        <v>0</v>
      </c>
      <c r="H189" s="69">
        <f t="shared" si="91"/>
        <v>0</v>
      </c>
    </row>
    <row r="190" spans="1:8" ht="33">
      <c r="A190" s="67" t="s">
        <v>25</v>
      </c>
      <c r="B190" s="67" t="s">
        <v>76</v>
      </c>
      <c r="C190" s="67" t="s">
        <v>259</v>
      </c>
      <c r="D190" s="67" t="s">
        <v>93</v>
      </c>
      <c r="E190" s="68" t="s">
        <v>132</v>
      </c>
      <c r="F190" s="69">
        <f>F191</f>
        <v>500</v>
      </c>
      <c r="G190" s="69">
        <f t="shared" si="91"/>
        <v>0</v>
      </c>
      <c r="H190" s="69">
        <f t="shared" si="91"/>
        <v>0</v>
      </c>
    </row>
    <row r="191" spans="1:8" ht="33">
      <c r="A191" s="67" t="s">
        <v>25</v>
      </c>
      <c r="B191" s="67" t="s">
        <v>76</v>
      </c>
      <c r="C191" s="67" t="s">
        <v>259</v>
      </c>
      <c r="D191" s="67" t="s">
        <v>96</v>
      </c>
      <c r="E191" s="68" t="s">
        <v>342</v>
      </c>
      <c r="F191" s="69">
        <v>500</v>
      </c>
      <c r="G191" s="69">
        <v>0</v>
      </c>
      <c r="H191" s="69">
        <v>0</v>
      </c>
    </row>
    <row r="192" spans="1:8" ht="49.5">
      <c r="A192" s="67" t="s">
        <v>25</v>
      </c>
      <c r="B192" s="67" t="s">
        <v>76</v>
      </c>
      <c r="C192" s="67" t="s">
        <v>436</v>
      </c>
      <c r="D192" s="67" t="s">
        <v>93</v>
      </c>
      <c r="E192" s="68" t="s">
        <v>437</v>
      </c>
      <c r="F192" s="69">
        <f>F193</f>
        <v>500</v>
      </c>
      <c r="G192" s="69">
        <f aca="true" t="shared" si="92" ref="G192:H193">G193</f>
        <v>0</v>
      </c>
      <c r="H192" s="69">
        <f t="shared" si="92"/>
        <v>0</v>
      </c>
    </row>
    <row r="193" spans="1:8" ht="49.5">
      <c r="A193" s="67" t="s">
        <v>25</v>
      </c>
      <c r="B193" s="67" t="s">
        <v>76</v>
      </c>
      <c r="C193" s="67" t="s">
        <v>438</v>
      </c>
      <c r="D193" s="67" t="s">
        <v>93</v>
      </c>
      <c r="E193" s="68" t="s">
        <v>439</v>
      </c>
      <c r="F193" s="69">
        <f>F194</f>
        <v>500</v>
      </c>
      <c r="G193" s="69">
        <f t="shared" si="92"/>
        <v>0</v>
      </c>
      <c r="H193" s="69">
        <f t="shared" si="92"/>
        <v>0</v>
      </c>
    </row>
    <row r="194" spans="1:8" ht="33">
      <c r="A194" s="67" t="s">
        <v>25</v>
      </c>
      <c r="B194" s="67" t="s">
        <v>76</v>
      </c>
      <c r="C194" s="67" t="s">
        <v>438</v>
      </c>
      <c r="D194" s="67" t="s">
        <v>96</v>
      </c>
      <c r="E194" s="68" t="s">
        <v>342</v>
      </c>
      <c r="F194" s="69">
        <v>500</v>
      </c>
      <c r="G194" s="69">
        <v>0</v>
      </c>
      <c r="H194" s="69">
        <v>0</v>
      </c>
    </row>
    <row r="195" spans="1:8" ht="12.75">
      <c r="A195" s="67" t="s">
        <v>25</v>
      </c>
      <c r="B195" s="67" t="s">
        <v>62</v>
      </c>
      <c r="C195" s="67" t="s">
        <v>93</v>
      </c>
      <c r="D195" s="67" t="s">
        <v>93</v>
      </c>
      <c r="E195" s="68" t="s">
        <v>53</v>
      </c>
      <c r="F195" s="69">
        <f>F208+F196</f>
        <v>17862.899999999998</v>
      </c>
      <c r="G195" s="69">
        <f>G208+G196</f>
        <v>15444.3</v>
      </c>
      <c r="H195" s="69">
        <f>H208+H196</f>
        <v>15444.3</v>
      </c>
    </row>
    <row r="196" spans="1:8" ht="12.75">
      <c r="A196" s="15" t="s">
        <v>25</v>
      </c>
      <c r="B196" s="15" t="s">
        <v>330</v>
      </c>
      <c r="C196" s="4"/>
      <c r="D196" s="4"/>
      <c r="E196" s="68" t="s">
        <v>331</v>
      </c>
      <c r="F196" s="69">
        <f>F197</f>
        <v>17055.8</v>
      </c>
      <c r="G196" s="69">
        <f aca="true" t="shared" si="93" ref="G196:H202">G197</f>
        <v>15444.3</v>
      </c>
      <c r="H196" s="69">
        <f t="shared" si="93"/>
        <v>15444.3</v>
      </c>
    </row>
    <row r="197" spans="1:8" ht="49.5">
      <c r="A197" s="15" t="s">
        <v>25</v>
      </c>
      <c r="B197" s="15" t="s">
        <v>330</v>
      </c>
      <c r="C197" s="4" t="s">
        <v>242</v>
      </c>
      <c r="D197" s="4"/>
      <c r="E197" s="21" t="s">
        <v>150</v>
      </c>
      <c r="F197" s="69">
        <f>F198</f>
        <v>17055.8</v>
      </c>
      <c r="G197" s="69">
        <f t="shared" si="93"/>
        <v>15444.3</v>
      </c>
      <c r="H197" s="69">
        <f t="shared" si="93"/>
        <v>15444.3</v>
      </c>
    </row>
    <row r="198" spans="1:8" ht="49.5">
      <c r="A198" s="15" t="s">
        <v>25</v>
      </c>
      <c r="B198" s="15" t="s">
        <v>330</v>
      </c>
      <c r="C198" s="4" t="s">
        <v>243</v>
      </c>
      <c r="D198" s="4"/>
      <c r="E198" s="21" t="s">
        <v>151</v>
      </c>
      <c r="F198" s="69">
        <f>F199</f>
        <v>17055.8</v>
      </c>
      <c r="G198" s="69">
        <f t="shared" si="93"/>
        <v>15444.3</v>
      </c>
      <c r="H198" s="69">
        <f t="shared" si="93"/>
        <v>15444.3</v>
      </c>
    </row>
    <row r="199" spans="1:8" ht="33">
      <c r="A199" s="15" t="s">
        <v>25</v>
      </c>
      <c r="B199" s="15" t="s">
        <v>330</v>
      </c>
      <c r="C199" s="4" t="s">
        <v>410</v>
      </c>
      <c r="D199" s="180"/>
      <c r="E199" s="5" t="s">
        <v>411</v>
      </c>
      <c r="F199" s="69">
        <f>F202+F204+F200+F206</f>
        <v>17055.8</v>
      </c>
      <c r="G199" s="69">
        <f aca="true" t="shared" si="94" ref="G199:H199">G202+G204+G200+G206</f>
        <v>15444.3</v>
      </c>
      <c r="H199" s="69">
        <f t="shared" si="94"/>
        <v>15444.3</v>
      </c>
    </row>
    <row r="200" spans="1:8" ht="66">
      <c r="A200" s="15" t="s">
        <v>25</v>
      </c>
      <c r="B200" s="15" t="s">
        <v>330</v>
      </c>
      <c r="C200" s="67" t="s">
        <v>682</v>
      </c>
      <c r="D200" s="180"/>
      <c r="E200" s="5" t="s">
        <v>639</v>
      </c>
      <c r="F200" s="69">
        <f>F201</f>
        <v>1554.4</v>
      </c>
      <c r="G200" s="69">
        <f aca="true" t="shared" si="95" ref="G200:H200">G201</f>
        <v>0</v>
      </c>
      <c r="H200" s="69">
        <f t="shared" si="95"/>
        <v>0</v>
      </c>
    </row>
    <row r="201" spans="1:8" ht="33">
      <c r="A201" s="15" t="s">
        <v>25</v>
      </c>
      <c r="B201" s="15" t="s">
        <v>330</v>
      </c>
      <c r="C201" s="67" t="s">
        <v>682</v>
      </c>
      <c r="D201" s="67" t="s">
        <v>413</v>
      </c>
      <c r="E201" s="68" t="s">
        <v>414</v>
      </c>
      <c r="F201" s="69">
        <f>1287.4+267</f>
        <v>1554.4</v>
      </c>
      <c r="G201" s="69">
        <v>0</v>
      </c>
      <c r="H201" s="69">
        <v>0</v>
      </c>
    </row>
    <row r="202" spans="1:8" ht="33">
      <c r="A202" s="15" t="s">
        <v>25</v>
      </c>
      <c r="B202" s="15" t="s">
        <v>330</v>
      </c>
      <c r="C202" s="4" t="s">
        <v>244</v>
      </c>
      <c r="D202" s="4"/>
      <c r="E202" s="21" t="s">
        <v>179</v>
      </c>
      <c r="F202" s="69">
        <f>F203</f>
        <v>15330.899999999998</v>
      </c>
      <c r="G202" s="69">
        <f t="shared" si="93"/>
        <v>15444.3</v>
      </c>
      <c r="H202" s="69">
        <f t="shared" si="93"/>
        <v>15444.3</v>
      </c>
    </row>
    <row r="203" spans="1:8" ht="33">
      <c r="A203" s="15" t="s">
        <v>25</v>
      </c>
      <c r="B203" s="15" t="s">
        <v>330</v>
      </c>
      <c r="C203" s="4" t="s">
        <v>244</v>
      </c>
      <c r="D203" s="180">
        <v>600</v>
      </c>
      <c r="E203" s="5" t="s">
        <v>117</v>
      </c>
      <c r="F203" s="69">
        <f>15444.3-128.7+15.3</f>
        <v>15330.899999999998</v>
      </c>
      <c r="G203" s="69">
        <v>15444.3</v>
      </c>
      <c r="H203" s="69">
        <v>15444.3</v>
      </c>
    </row>
    <row r="204" spans="1:8" ht="33">
      <c r="A204" s="15" t="s">
        <v>25</v>
      </c>
      <c r="B204" s="15" t="s">
        <v>330</v>
      </c>
      <c r="C204" s="67" t="s">
        <v>678</v>
      </c>
      <c r="D204" s="67" t="s">
        <v>93</v>
      </c>
      <c r="E204" s="68" t="s">
        <v>572</v>
      </c>
      <c r="F204" s="69">
        <f>F205</f>
        <v>41.8</v>
      </c>
      <c r="G204" s="69">
        <f aca="true" t="shared" si="96" ref="G204:H204">G205</f>
        <v>0</v>
      </c>
      <c r="H204" s="69">
        <f t="shared" si="96"/>
        <v>0</v>
      </c>
    </row>
    <row r="205" spans="1:8" ht="33">
      <c r="A205" s="15" t="s">
        <v>25</v>
      </c>
      <c r="B205" s="15" t="s">
        <v>330</v>
      </c>
      <c r="C205" s="67" t="s">
        <v>678</v>
      </c>
      <c r="D205" s="67" t="s">
        <v>413</v>
      </c>
      <c r="E205" s="68" t="s">
        <v>414</v>
      </c>
      <c r="F205" s="69">
        <v>41.8</v>
      </c>
      <c r="G205" s="69">
        <v>0</v>
      </c>
      <c r="H205" s="69">
        <v>0</v>
      </c>
    </row>
    <row r="206" spans="1:8" ht="66">
      <c r="A206" s="15" t="s">
        <v>25</v>
      </c>
      <c r="B206" s="15" t="s">
        <v>330</v>
      </c>
      <c r="C206" s="67" t="s">
        <v>683</v>
      </c>
      <c r="D206" s="67" t="s">
        <v>93</v>
      </c>
      <c r="E206" s="5" t="s">
        <v>649</v>
      </c>
      <c r="F206" s="69">
        <f>F207</f>
        <v>128.7</v>
      </c>
      <c r="G206" s="69">
        <f aca="true" t="shared" si="97" ref="G206:H206">G207</f>
        <v>0</v>
      </c>
      <c r="H206" s="69">
        <f t="shared" si="97"/>
        <v>0</v>
      </c>
    </row>
    <row r="207" spans="1:8" ht="33">
      <c r="A207" s="15" t="s">
        <v>25</v>
      </c>
      <c r="B207" s="15" t="s">
        <v>330</v>
      </c>
      <c r="C207" s="67" t="s">
        <v>683</v>
      </c>
      <c r="D207" s="67" t="s">
        <v>413</v>
      </c>
      <c r="E207" s="68" t="s">
        <v>414</v>
      </c>
      <c r="F207" s="69">
        <v>128.7</v>
      </c>
      <c r="G207" s="69">
        <v>0</v>
      </c>
      <c r="H207" s="69">
        <v>0</v>
      </c>
    </row>
    <row r="208" spans="1:8" ht="12.75">
      <c r="A208" s="67" t="s">
        <v>25</v>
      </c>
      <c r="B208" s="67" t="s">
        <v>63</v>
      </c>
      <c r="C208" s="67" t="s">
        <v>93</v>
      </c>
      <c r="D208" s="67" t="s">
        <v>93</v>
      </c>
      <c r="E208" s="68" t="s">
        <v>505</v>
      </c>
      <c r="F208" s="69">
        <f>F209</f>
        <v>807.0999999999999</v>
      </c>
      <c r="G208" s="69">
        <f aca="true" t="shared" si="98" ref="G208:H212">G209</f>
        <v>0</v>
      </c>
      <c r="H208" s="69">
        <f t="shared" si="98"/>
        <v>0</v>
      </c>
    </row>
    <row r="209" spans="1:8" ht="49.5">
      <c r="A209" s="67" t="s">
        <v>25</v>
      </c>
      <c r="B209" s="67" t="s">
        <v>63</v>
      </c>
      <c r="C209" s="67" t="s">
        <v>280</v>
      </c>
      <c r="D209" s="67" t="s">
        <v>93</v>
      </c>
      <c r="E209" s="68" t="s">
        <v>399</v>
      </c>
      <c r="F209" s="69">
        <f>F210</f>
        <v>807.0999999999999</v>
      </c>
      <c r="G209" s="69">
        <f t="shared" si="98"/>
        <v>0</v>
      </c>
      <c r="H209" s="69">
        <f t="shared" si="98"/>
        <v>0</v>
      </c>
    </row>
    <row r="210" spans="1:8" ht="99">
      <c r="A210" s="67" t="s">
        <v>25</v>
      </c>
      <c r="B210" s="67" t="s">
        <v>63</v>
      </c>
      <c r="C210" s="67" t="s">
        <v>400</v>
      </c>
      <c r="D210" s="67" t="s">
        <v>93</v>
      </c>
      <c r="E210" s="68" t="s">
        <v>401</v>
      </c>
      <c r="F210" s="69">
        <f>F211</f>
        <v>807.0999999999999</v>
      </c>
      <c r="G210" s="69">
        <f t="shared" si="98"/>
        <v>0</v>
      </c>
      <c r="H210" s="69">
        <f t="shared" si="98"/>
        <v>0</v>
      </c>
    </row>
    <row r="211" spans="1:8" ht="99">
      <c r="A211" s="67" t="s">
        <v>25</v>
      </c>
      <c r="B211" s="67" t="s">
        <v>63</v>
      </c>
      <c r="C211" s="232" t="s">
        <v>613</v>
      </c>
      <c r="D211" s="231" t="s">
        <v>93</v>
      </c>
      <c r="E211" s="68" t="s">
        <v>402</v>
      </c>
      <c r="F211" s="69">
        <f>F212</f>
        <v>807.0999999999999</v>
      </c>
      <c r="G211" s="69">
        <f t="shared" si="98"/>
        <v>0</v>
      </c>
      <c r="H211" s="69">
        <f t="shared" si="98"/>
        <v>0</v>
      </c>
    </row>
    <row r="212" spans="1:8" ht="99">
      <c r="A212" s="67" t="s">
        <v>25</v>
      </c>
      <c r="B212" s="67" t="s">
        <v>63</v>
      </c>
      <c r="C212" s="67" t="s">
        <v>403</v>
      </c>
      <c r="D212" s="67" t="s">
        <v>93</v>
      </c>
      <c r="E212" s="68" t="s">
        <v>404</v>
      </c>
      <c r="F212" s="69">
        <f>F213</f>
        <v>807.0999999999999</v>
      </c>
      <c r="G212" s="69">
        <f t="shared" si="98"/>
        <v>0</v>
      </c>
      <c r="H212" s="69">
        <f t="shared" si="98"/>
        <v>0</v>
      </c>
    </row>
    <row r="213" spans="1:8" ht="33">
      <c r="A213" s="67" t="s">
        <v>25</v>
      </c>
      <c r="B213" s="67" t="s">
        <v>63</v>
      </c>
      <c r="C213" s="67" t="s">
        <v>403</v>
      </c>
      <c r="D213" s="67" t="s">
        <v>96</v>
      </c>
      <c r="E213" s="68" t="s">
        <v>342</v>
      </c>
      <c r="F213" s="69">
        <f>811.1+259.5-263.5</f>
        <v>807.0999999999999</v>
      </c>
      <c r="G213" s="69">
        <v>0</v>
      </c>
      <c r="H213" s="69">
        <v>0</v>
      </c>
    </row>
    <row r="214" spans="1:8" ht="12.75">
      <c r="A214" s="67" t="s">
        <v>25</v>
      </c>
      <c r="B214" s="67" t="s">
        <v>66</v>
      </c>
      <c r="C214" s="67" t="s">
        <v>93</v>
      </c>
      <c r="D214" s="67" t="s">
        <v>93</v>
      </c>
      <c r="E214" s="5" t="s">
        <v>111</v>
      </c>
      <c r="F214" s="69">
        <f>F215</f>
        <v>27532.999999999993</v>
      </c>
      <c r="G214" s="69">
        <f aca="true" t="shared" si="99" ref="G214:H216">G215</f>
        <v>22473.2</v>
      </c>
      <c r="H214" s="69">
        <f t="shared" si="99"/>
        <v>22485.3</v>
      </c>
    </row>
    <row r="215" spans="1:8" ht="12.75">
      <c r="A215" s="67" t="s">
        <v>25</v>
      </c>
      <c r="B215" s="67" t="s">
        <v>67</v>
      </c>
      <c r="C215" s="67" t="s">
        <v>93</v>
      </c>
      <c r="D215" s="67" t="s">
        <v>93</v>
      </c>
      <c r="E215" s="68" t="s">
        <v>18</v>
      </c>
      <c r="F215" s="69">
        <f>F216+F257</f>
        <v>27532.999999999993</v>
      </c>
      <c r="G215" s="69">
        <f>G216+G257</f>
        <v>22473.2</v>
      </c>
      <c r="H215" s="69">
        <f>H216+H257</f>
        <v>22485.3</v>
      </c>
    </row>
    <row r="216" spans="1:8" ht="49.5">
      <c r="A216" s="67" t="s">
        <v>25</v>
      </c>
      <c r="B216" s="67" t="s">
        <v>67</v>
      </c>
      <c r="C216" s="67" t="s">
        <v>242</v>
      </c>
      <c r="D216" s="67" t="s">
        <v>93</v>
      </c>
      <c r="E216" s="68" t="s">
        <v>405</v>
      </c>
      <c r="F216" s="69">
        <f>F217</f>
        <v>26963.399999999994</v>
      </c>
      <c r="G216" s="69">
        <f t="shared" si="99"/>
        <v>22473.2</v>
      </c>
      <c r="H216" s="69">
        <f t="shared" si="99"/>
        <v>22485.3</v>
      </c>
    </row>
    <row r="217" spans="1:8" ht="49.5">
      <c r="A217" s="67" t="s">
        <v>25</v>
      </c>
      <c r="B217" s="67" t="s">
        <v>67</v>
      </c>
      <c r="C217" s="67" t="s">
        <v>243</v>
      </c>
      <c r="D217" s="67" t="s">
        <v>93</v>
      </c>
      <c r="E217" s="68" t="s">
        <v>151</v>
      </c>
      <c r="F217" s="69">
        <f>F218+F237+F254</f>
        <v>26963.399999999994</v>
      </c>
      <c r="G217" s="69">
        <f>G218+G237+G254</f>
        <v>22473.2</v>
      </c>
      <c r="H217" s="69">
        <f>H218+H237+H254</f>
        <v>22485.3</v>
      </c>
    </row>
    <row r="218" spans="1:8" ht="33">
      <c r="A218" s="67" t="s">
        <v>25</v>
      </c>
      <c r="B218" s="67" t="s">
        <v>67</v>
      </c>
      <c r="C218" s="67" t="s">
        <v>406</v>
      </c>
      <c r="D218" s="231" t="s">
        <v>93</v>
      </c>
      <c r="E218" s="68" t="s">
        <v>407</v>
      </c>
      <c r="F218" s="69">
        <f>F221+F225+F227+F219+F231+F233+F235+F223</f>
        <v>11215.999999999998</v>
      </c>
      <c r="G218" s="69">
        <f aca="true" t="shared" si="100" ref="G218:H218">G221+G225+G227+G219+G231+G233+G235+G223</f>
        <v>9108.699999999999</v>
      </c>
      <c r="H218" s="69">
        <f t="shared" si="100"/>
        <v>9119.699999999999</v>
      </c>
    </row>
    <row r="219" spans="1:8" ht="49.5">
      <c r="A219" s="67" t="s">
        <v>25</v>
      </c>
      <c r="B219" s="67" t="s">
        <v>67</v>
      </c>
      <c r="C219" s="67" t="s">
        <v>635</v>
      </c>
      <c r="D219" s="231"/>
      <c r="E219" s="68" t="s">
        <v>640</v>
      </c>
      <c r="F219" s="69">
        <f>F220</f>
        <v>1934.1</v>
      </c>
      <c r="G219" s="69">
        <f aca="true" t="shared" si="101" ref="G219:H219">G220</f>
        <v>0</v>
      </c>
      <c r="H219" s="69">
        <f t="shared" si="101"/>
        <v>0</v>
      </c>
    </row>
    <row r="220" spans="1:8" ht="82.5">
      <c r="A220" s="67" t="s">
        <v>25</v>
      </c>
      <c r="B220" s="67" t="s">
        <v>67</v>
      </c>
      <c r="C220" s="67" t="s">
        <v>635</v>
      </c>
      <c r="D220" s="67" t="s">
        <v>95</v>
      </c>
      <c r="E220" s="68" t="s">
        <v>3</v>
      </c>
      <c r="F220" s="69">
        <v>1934.1</v>
      </c>
      <c r="G220" s="69">
        <v>0</v>
      </c>
      <c r="H220" s="69">
        <v>0</v>
      </c>
    </row>
    <row r="221" spans="1:8" ht="33">
      <c r="A221" s="67" t="s">
        <v>25</v>
      </c>
      <c r="B221" s="67" t="s">
        <v>67</v>
      </c>
      <c r="C221" s="67" t="s">
        <v>247</v>
      </c>
      <c r="D221" s="67" t="s">
        <v>93</v>
      </c>
      <c r="E221" s="68" t="s">
        <v>408</v>
      </c>
      <c r="F221" s="69">
        <f>F222</f>
        <v>155.1</v>
      </c>
      <c r="G221" s="69">
        <f aca="true" t="shared" si="102" ref="G221:H221">G222</f>
        <v>160.6</v>
      </c>
      <c r="H221" s="69">
        <f t="shared" si="102"/>
        <v>166.1</v>
      </c>
    </row>
    <row r="222" spans="1:8" ht="33">
      <c r="A222" s="67" t="s">
        <v>25</v>
      </c>
      <c r="B222" s="67" t="s">
        <v>67</v>
      </c>
      <c r="C222" s="67" t="s">
        <v>247</v>
      </c>
      <c r="D222" s="67" t="s">
        <v>96</v>
      </c>
      <c r="E222" s="68" t="s">
        <v>342</v>
      </c>
      <c r="F222" s="69">
        <v>155.1</v>
      </c>
      <c r="G222" s="69">
        <v>160.6</v>
      </c>
      <c r="H222" s="69">
        <v>166.1</v>
      </c>
    </row>
    <row r="223" spans="1:8" ht="33">
      <c r="A223" s="67" t="s">
        <v>25</v>
      </c>
      <c r="B223" s="67" t="s">
        <v>67</v>
      </c>
      <c r="C223" s="67" t="s">
        <v>714</v>
      </c>
      <c r="D223" s="67" t="s">
        <v>93</v>
      </c>
      <c r="E223" s="68" t="s">
        <v>715</v>
      </c>
      <c r="F223" s="69">
        <f>F224</f>
        <v>154.1</v>
      </c>
      <c r="G223" s="69">
        <f aca="true" t="shared" si="103" ref="G223:H223">G224</f>
        <v>0</v>
      </c>
      <c r="H223" s="69">
        <f t="shared" si="103"/>
        <v>0</v>
      </c>
    </row>
    <row r="224" spans="1:8" ht="33">
      <c r="A224" s="67" t="s">
        <v>25</v>
      </c>
      <c r="B224" s="67" t="s">
        <v>67</v>
      </c>
      <c r="C224" s="67" t="s">
        <v>714</v>
      </c>
      <c r="D224" s="67" t="s">
        <v>96</v>
      </c>
      <c r="E224" s="68" t="s">
        <v>342</v>
      </c>
      <c r="F224" s="69">
        <v>154.1</v>
      </c>
      <c r="G224" s="69">
        <v>0</v>
      </c>
      <c r="H224" s="69">
        <v>0</v>
      </c>
    </row>
    <row r="225" spans="1:8" ht="49.5">
      <c r="A225" s="67" t="s">
        <v>25</v>
      </c>
      <c r="B225" s="67" t="s">
        <v>67</v>
      </c>
      <c r="C225" s="67" t="s">
        <v>310</v>
      </c>
      <c r="D225" s="67" t="s">
        <v>93</v>
      </c>
      <c r="E225" s="68" t="s">
        <v>152</v>
      </c>
      <c r="F225" s="69">
        <f>F226</f>
        <v>85.30000000000001</v>
      </c>
      <c r="G225" s="69">
        <f aca="true" t="shared" si="104" ref="G225:H225">G226</f>
        <v>160.7</v>
      </c>
      <c r="H225" s="69">
        <f t="shared" si="104"/>
        <v>166.2</v>
      </c>
    </row>
    <row r="226" spans="1:8" ht="33">
      <c r="A226" s="67" t="s">
        <v>25</v>
      </c>
      <c r="B226" s="67" t="s">
        <v>67</v>
      </c>
      <c r="C226" s="67" t="s">
        <v>310</v>
      </c>
      <c r="D226" s="67" t="s">
        <v>96</v>
      </c>
      <c r="E226" s="68" t="s">
        <v>342</v>
      </c>
      <c r="F226" s="69">
        <f>155.3-70</f>
        <v>85.30000000000001</v>
      </c>
      <c r="G226" s="69">
        <v>160.7</v>
      </c>
      <c r="H226" s="69">
        <v>166.2</v>
      </c>
    </row>
    <row r="227" spans="1:8" ht="12.75">
      <c r="A227" s="67" t="s">
        <v>25</v>
      </c>
      <c r="B227" s="67" t="s">
        <v>67</v>
      </c>
      <c r="C227" s="67" t="s">
        <v>248</v>
      </c>
      <c r="D227" s="67" t="s">
        <v>93</v>
      </c>
      <c r="E227" s="68" t="s">
        <v>409</v>
      </c>
      <c r="F227" s="69">
        <f>F228+F229+F230</f>
        <v>8768.099999999999</v>
      </c>
      <c r="G227" s="69">
        <f aca="true" t="shared" si="105" ref="G227:H227">G228+G229+G230</f>
        <v>8787.4</v>
      </c>
      <c r="H227" s="69">
        <f t="shared" si="105"/>
        <v>8787.4</v>
      </c>
    </row>
    <row r="228" spans="1:8" ht="82.5">
      <c r="A228" s="67" t="s">
        <v>25</v>
      </c>
      <c r="B228" s="67" t="s">
        <v>67</v>
      </c>
      <c r="C228" s="67" t="s">
        <v>248</v>
      </c>
      <c r="D228" s="67" t="s">
        <v>95</v>
      </c>
      <c r="E228" s="68" t="s">
        <v>3</v>
      </c>
      <c r="F228" s="69">
        <f>7092.8-19.3</f>
        <v>7073.5</v>
      </c>
      <c r="G228" s="69">
        <v>7092.8</v>
      </c>
      <c r="H228" s="69">
        <v>7092.8</v>
      </c>
    </row>
    <row r="229" spans="1:8" ht="33">
      <c r="A229" s="67" t="s">
        <v>25</v>
      </c>
      <c r="B229" s="67" t="s">
        <v>67</v>
      </c>
      <c r="C229" s="67" t="s">
        <v>248</v>
      </c>
      <c r="D229" s="67" t="s">
        <v>96</v>
      </c>
      <c r="E229" s="68" t="s">
        <v>342</v>
      </c>
      <c r="F229" s="69">
        <f>1600.7+3.1</f>
        <v>1603.8</v>
      </c>
      <c r="G229" s="69">
        <v>1600.7</v>
      </c>
      <c r="H229" s="69">
        <v>1600.7</v>
      </c>
    </row>
    <row r="230" spans="1:8" ht="12.75">
      <c r="A230" s="67" t="s">
        <v>25</v>
      </c>
      <c r="B230" s="67" t="s">
        <v>67</v>
      </c>
      <c r="C230" s="67" t="s">
        <v>248</v>
      </c>
      <c r="D230" s="67" t="s">
        <v>97</v>
      </c>
      <c r="E230" s="68" t="s">
        <v>98</v>
      </c>
      <c r="F230" s="69">
        <f>93.9-3.1</f>
        <v>90.80000000000001</v>
      </c>
      <c r="G230" s="69">
        <v>93.9</v>
      </c>
      <c r="H230" s="69">
        <v>93.9</v>
      </c>
    </row>
    <row r="231" spans="1:8" ht="49.5">
      <c r="A231" s="67" t="s">
        <v>25</v>
      </c>
      <c r="B231" s="67" t="s">
        <v>67</v>
      </c>
      <c r="C231" s="67" t="s">
        <v>636</v>
      </c>
      <c r="D231" s="67"/>
      <c r="E231" s="68" t="s">
        <v>650</v>
      </c>
      <c r="F231" s="69">
        <f>F232</f>
        <v>19.3</v>
      </c>
      <c r="G231" s="69">
        <f aca="true" t="shared" si="106" ref="G231:H231">G232</f>
        <v>0</v>
      </c>
      <c r="H231" s="69">
        <f t="shared" si="106"/>
        <v>0</v>
      </c>
    </row>
    <row r="232" spans="1:8" ht="82.5">
      <c r="A232" s="67" t="s">
        <v>25</v>
      </c>
      <c r="B232" s="67" t="s">
        <v>67</v>
      </c>
      <c r="C232" s="67" t="s">
        <v>636</v>
      </c>
      <c r="D232" s="67" t="s">
        <v>95</v>
      </c>
      <c r="E232" s="68" t="s">
        <v>3</v>
      </c>
      <c r="F232" s="69">
        <v>19.3</v>
      </c>
      <c r="G232" s="69">
        <v>0</v>
      </c>
      <c r="H232" s="69">
        <v>0</v>
      </c>
    </row>
    <row r="233" spans="1:8" ht="66">
      <c r="A233" s="67" t="s">
        <v>25</v>
      </c>
      <c r="B233" s="67" t="s">
        <v>67</v>
      </c>
      <c r="C233" s="67" t="s">
        <v>645</v>
      </c>
      <c r="D233" s="67" t="s">
        <v>93</v>
      </c>
      <c r="E233" s="68" t="s">
        <v>647</v>
      </c>
      <c r="F233" s="69">
        <f>F234</f>
        <v>70</v>
      </c>
      <c r="G233" s="69">
        <f aca="true" t="shared" si="107" ref="G233:H233">G234</f>
        <v>0</v>
      </c>
      <c r="H233" s="69">
        <f t="shared" si="107"/>
        <v>0</v>
      </c>
    </row>
    <row r="234" spans="1:8" ht="33">
      <c r="A234" s="67" t="s">
        <v>25</v>
      </c>
      <c r="B234" s="67" t="s">
        <v>67</v>
      </c>
      <c r="C234" s="67" t="s">
        <v>645</v>
      </c>
      <c r="D234" s="67" t="s">
        <v>96</v>
      </c>
      <c r="E234" s="68" t="s">
        <v>342</v>
      </c>
      <c r="F234" s="69">
        <v>70</v>
      </c>
      <c r="G234" s="69">
        <v>0</v>
      </c>
      <c r="H234" s="69">
        <v>0</v>
      </c>
    </row>
    <row r="235" spans="1:8" ht="66">
      <c r="A235" s="67" t="s">
        <v>25</v>
      </c>
      <c r="B235" s="67" t="s">
        <v>67</v>
      </c>
      <c r="C235" s="67" t="s">
        <v>646</v>
      </c>
      <c r="D235" s="67" t="s">
        <v>93</v>
      </c>
      <c r="E235" s="68" t="s">
        <v>648</v>
      </c>
      <c r="F235" s="69">
        <f>F236</f>
        <v>30</v>
      </c>
      <c r="G235" s="69">
        <f aca="true" t="shared" si="108" ref="G235:H235">G236</f>
        <v>0</v>
      </c>
      <c r="H235" s="69">
        <f t="shared" si="108"/>
        <v>0</v>
      </c>
    </row>
    <row r="236" spans="1:8" ht="33">
      <c r="A236" s="67" t="s">
        <v>25</v>
      </c>
      <c r="B236" s="67" t="s">
        <v>67</v>
      </c>
      <c r="C236" s="67" t="s">
        <v>646</v>
      </c>
      <c r="D236" s="67" t="s">
        <v>96</v>
      </c>
      <c r="E236" s="68" t="s">
        <v>342</v>
      </c>
      <c r="F236" s="69">
        <v>30</v>
      </c>
      <c r="G236" s="69">
        <v>0</v>
      </c>
      <c r="H236" s="69">
        <v>0</v>
      </c>
    </row>
    <row r="237" spans="1:8" ht="33">
      <c r="A237" s="15" t="s">
        <v>25</v>
      </c>
      <c r="B237" s="15" t="s">
        <v>67</v>
      </c>
      <c r="C237" s="4" t="s">
        <v>500</v>
      </c>
      <c r="D237" s="180"/>
      <c r="E237" s="5" t="s">
        <v>501</v>
      </c>
      <c r="F237" s="69">
        <f>F242+F244+F246+F250+F240+F252+F238+F248</f>
        <v>15715.3</v>
      </c>
      <c r="G237" s="69">
        <f aca="true" t="shared" si="109" ref="G237:H237">G242+G244+G246+G250+G240+G252+G238+G248</f>
        <v>13331.3</v>
      </c>
      <c r="H237" s="69">
        <f t="shared" si="109"/>
        <v>13331.3</v>
      </c>
    </row>
    <row r="238" spans="1:8" ht="66">
      <c r="A238" s="15" t="s">
        <v>25</v>
      </c>
      <c r="B238" s="15" t="s">
        <v>67</v>
      </c>
      <c r="C238" s="4" t="s">
        <v>643</v>
      </c>
      <c r="D238" s="180"/>
      <c r="E238" s="21" t="s">
        <v>644</v>
      </c>
      <c r="F238" s="69">
        <f>F239</f>
        <v>99</v>
      </c>
      <c r="G238" s="69">
        <f aca="true" t="shared" si="110" ref="G238:H238">G239</f>
        <v>0</v>
      </c>
      <c r="H238" s="69">
        <f t="shared" si="110"/>
        <v>0</v>
      </c>
    </row>
    <row r="239" spans="1:8" ht="33">
      <c r="A239" s="15" t="s">
        <v>25</v>
      </c>
      <c r="B239" s="15" t="s">
        <v>67</v>
      </c>
      <c r="C239" s="4" t="s">
        <v>643</v>
      </c>
      <c r="D239" s="180">
        <v>600</v>
      </c>
      <c r="E239" s="5" t="s">
        <v>117</v>
      </c>
      <c r="F239" s="69">
        <v>99</v>
      </c>
      <c r="G239" s="69">
        <v>0</v>
      </c>
      <c r="H239" s="69">
        <v>0</v>
      </c>
    </row>
    <row r="240" spans="1:8" ht="49.5">
      <c r="A240" s="15" t="s">
        <v>25</v>
      </c>
      <c r="B240" s="15" t="s">
        <v>67</v>
      </c>
      <c r="C240" s="4" t="s">
        <v>637</v>
      </c>
      <c r="D240" s="180"/>
      <c r="E240" s="68" t="s">
        <v>640</v>
      </c>
      <c r="F240" s="69">
        <f>F241</f>
        <v>1469.2</v>
      </c>
      <c r="G240" s="69">
        <f aca="true" t="shared" si="111" ref="G240:H240">G241</f>
        <v>0</v>
      </c>
      <c r="H240" s="69">
        <f t="shared" si="111"/>
        <v>0</v>
      </c>
    </row>
    <row r="241" spans="1:8" ht="33">
      <c r="A241" s="15" t="s">
        <v>25</v>
      </c>
      <c r="B241" s="15" t="s">
        <v>67</v>
      </c>
      <c r="C241" s="4" t="s">
        <v>637</v>
      </c>
      <c r="D241" s="180">
        <v>600</v>
      </c>
      <c r="E241" s="5" t="s">
        <v>117</v>
      </c>
      <c r="F241" s="69">
        <v>1469.2</v>
      </c>
      <c r="G241" s="69">
        <v>0</v>
      </c>
      <c r="H241" s="69">
        <v>0</v>
      </c>
    </row>
    <row r="242" spans="1:8" ht="33">
      <c r="A242" s="15" t="s">
        <v>25</v>
      </c>
      <c r="B242" s="15" t="s">
        <v>67</v>
      </c>
      <c r="C242" s="4" t="s">
        <v>245</v>
      </c>
      <c r="D242" s="4"/>
      <c r="E242" s="21" t="s">
        <v>153</v>
      </c>
      <c r="F242" s="69">
        <f>F243</f>
        <v>13320.099999999999</v>
      </c>
      <c r="G242" s="69">
        <f aca="true" t="shared" si="112" ref="G242:H242">G243</f>
        <v>13331.3</v>
      </c>
      <c r="H242" s="69">
        <f t="shared" si="112"/>
        <v>13331.3</v>
      </c>
    </row>
    <row r="243" spans="1:8" ht="33">
      <c r="A243" s="15" t="s">
        <v>25</v>
      </c>
      <c r="B243" s="15" t="s">
        <v>67</v>
      </c>
      <c r="C243" s="4" t="s">
        <v>245</v>
      </c>
      <c r="D243" s="180">
        <v>600</v>
      </c>
      <c r="E243" s="5" t="s">
        <v>117</v>
      </c>
      <c r="F243" s="69">
        <f>13331.3-14.7+3.5</f>
        <v>13320.099999999999</v>
      </c>
      <c r="G243" s="69">
        <v>13331.3</v>
      </c>
      <c r="H243" s="69">
        <v>13331.3</v>
      </c>
    </row>
    <row r="244" spans="1:8" ht="66">
      <c r="A244" s="15" t="s">
        <v>25</v>
      </c>
      <c r="B244" s="15" t="s">
        <v>67</v>
      </c>
      <c r="C244" s="4" t="s">
        <v>566</v>
      </c>
      <c r="D244" s="180"/>
      <c r="E244" s="21" t="s">
        <v>567</v>
      </c>
      <c r="F244" s="69">
        <f>F245</f>
        <v>527</v>
      </c>
      <c r="G244" s="69">
        <f aca="true" t="shared" si="113" ref="G244:H244">G245</f>
        <v>0</v>
      </c>
      <c r="H244" s="69">
        <f t="shared" si="113"/>
        <v>0</v>
      </c>
    </row>
    <row r="245" spans="1:8" ht="33">
      <c r="A245" s="15" t="s">
        <v>25</v>
      </c>
      <c r="B245" s="15" t="s">
        <v>67</v>
      </c>
      <c r="C245" s="4" t="s">
        <v>566</v>
      </c>
      <c r="D245" s="180">
        <v>600</v>
      </c>
      <c r="E245" s="5" t="s">
        <v>117</v>
      </c>
      <c r="F245" s="69">
        <v>527</v>
      </c>
      <c r="G245" s="69">
        <v>0</v>
      </c>
      <c r="H245" s="69">
        <v>0</v>
      </c>
    </row>
    <row r="246" spans="1:8" ht="33">
      <c r="A246" s="15" t="s">
        <v>25</v>
      </c>
      <c r="B246" s="15" t="s">
        <v>67</v>
      </c>
      <c r="C246" s="4" t="s">
        <v>568</v>
      </c>
      <c r="D246" s="180"/>
      <c r="E246" s="21" t="s">
        <v>569</v>
      </c>
      <c r="F246" s="69">
        <f>F247</f>
        <v>32</v>
      </c>
      <c r="G246" s="69">
        <f aca="true" t="shared" si="114" ref="G246:H246">G247</f>
        <v>0</v>
      </c>
      <c r="H246" s="69">
        <f t="shared" si="114"/>
        <v>0</v>
      </c>
    </row>
    <row r="247" spans="1:8" ht="33">
      <c r="A247" s="15" t="s">
        <v>25</v>
      </c>
      <c r="B247" s="15" t="s">
        <v>67</v>
      </c>
      <c r="C247" s="4" t="s">
        <v>568</v>
      </c>
      <c r="D247" s="180">
        <v>600</v>
      </c>
      <c r="E247" s="5" t="s">
        <v>117</v>
      </c>
      <c r="F247" s="69">
        <v>32</v>
      </c>
      <c r="G247" s="69">
        <v>0</v>
      </c>
      <c r="H247" s="69">
        <v>0</v>
      </c>
    </row>
    <row r="248" spans="1:8" ht="66">
      <c r="A248" s="15" t="s">
        <v>25</v>
      </c>
      <c r="B248" s="15" t="s">
        <v>67</v>
      </c>
      <c r="C248" s="4" t="s">
        <v>686</v>
      </c>
      <c r="D248" s="180"/>
      <c r="E248" s="21" t="s">
        <v>687</v>
      </c>
      <c r="F248" s="69">
        <f>F249</f>
        <v>252.3</v>
      </c>
      <c r="G248" s="69">
        <f aca="true" t="shared" si="115" ref="G248:H248">G249</f>
        <v>0</v>
      </c>
      <c r="H248" s="69">
        <f t="shared" si="115"/>
        <v>0</v>
      </c>
    </row>
    <row r="249" spans="1:8" ht="33">
      <c r="A249" s="15" t="s">
        <v>25</v>
      </c>
      <c r="B249" s="15" t="s">
        <v>67</v>
      </c>
      <c r="C249" s="4" t="s">
        <v>686</v>
      </c>
      <c r="D249" s="180">
        <v>600</v>
      </c>
      <c r="E249" s="5" t="s">
        <v>117</v>
      </c>
      <c r="F249" s="69">
        <v>252.3</v>
      </c>
      <c r="G249" s="69">
        <v>0</v>
      </c>
      <c r="H249" s="69">
        <v>0</v>
      </c>
    </row>
    <row r="250" spans="1:8" ht="33">
      <c r="A250" s="15" t="s">
        <v>25</v>
      </c>
      <c r="B250" s="15" t="s">
        <v>67</v>
      </c>
      <c r="C250" s="4" t="s">
        <v>570</v>
      </c>
      <c r="D250" s="180"/>
      <c r="E250" s="21" t="s">
        <v>571</v>
      </c>
      <c r="F250" s="69">
        <f>F251</f>
        <v>1</v>
      </c>
      <c r="G250" s="69">
        <f aca="true" t="shared" si="116" ref="G250:H250">G251</f>
        <v>0</v>
      </c>
      <c r="H250" s="69">
        <f t="shared" si="116"/>
        <v>0</v>
      </c>
    </row>
    <row r="251" spans="1:8" ht="33">
      <c r="A251" s="15" t="s">
        <v>25</v>
      </c>
      <c r="B251" s="15" t="s">
        <v>67</v>
      </c>
      <c r="C251" s="4" t="s">
        <v>570</v>
      </c>
      <c r="D251" s="180">
        <v>600</v>
      </c>
      <c r="E251" s="5" t="s">
        <v>117</v>
      </c>
      <c r="F251" s="69">
        <v>1</v>
      </c>
      <c r="G251" s="69">
        <v>0</v>
      </c>
      <c r="H251" s="69">
        <v>0</v>
      </c>
    </row>
    <row r="252" spans="1:8" ht="49.5">
      <c r="A252" s="15" t="s">
        <v>25</v>
      </c>
      <c r="B252" s="15" t="s">
        <v>67</v>
      </c>
      <c r="C252" s="4" t="s">
        <v>638</v>
      </c>
      <c r="D252" s="180"/>
      <c r="E252" s="68" t="s">
        <v>650</v>
      </c>
      <c r="F252" s="69">
        <f>F253</f>
        <v>14.7</v>
      </c>
      <c r="G252" s="69">
        <f aca="true" t="shared" si="117" ref="G252:H252">G253</f>
        <v>0</v>
      </c>
      <c r="H252" s="69">
        <f t="shared" si="117"/>
        <v>0</v>
      </c>
    </row>
    <row r="253" spans="1:8" ht="33">
      <c r="A253" s="15" t="s">
        <v>25</v>
      </c>
      <c r="B253" s="15" t="s">
        <v>67</v>
      </c>
      <c r="C253" s="4" t="s">
        <v>638</v>
      </c>
      <c r="D253" s="180">
        <v>600</v>
      </c>
      <c r="E253" s="5" t="s">
        <v>117</v>
      </c>
      <c r="F253" s="69">
        <v>14.7</v>
      </c>
      <c r="G253" s="69">
        <v>0</v>
      </c>
      <c r="H253" s="69">
        <v>0</v>
      </c>
    </row>
    <row r="254" spans="1:8" ht="33">
      <c r="A254" s="67" t="s">
        <v>25</v>
      </c>
      <c r="B254" s="67" t="s">
        <v>67</v>
      </c>
      <c r="C254" s="67" t="s">
        <v>410</v>
      </c>
      <c r="D254" s="231" t="s">
        <v>93</v>
      </c>
      <c r="E254" s="68" t="s">
        <v>411</v>
      </c>
      <c r="F254" s="69">
        <f>F255</f>
        <v>32.1</v>
      </c>
      <c r="G254" s="69">
        <f aca="true" t="shared" si="118" ref="G254:H254">G255</f>
        <v>33.2</v>
      </c>
      <c r="H254" s="69">
        <f t="shared" si="118"/>
        <v>34.3</v>
      </c>
    </row>
    <row r="255" spans="1:8" ht="66">
      <c r="A255" s="67" t="s">
        <v>25</v>
      </c>
      <c r="B255" s="67" t="s">
        <v>67</v>
      </c>
      <c r="C255" s="67" t="s">
        <v>246</v>
      </c>
      <c r="D255" s="67" t="s">
        <v>93</v>
      </c>
      <c r="E255" s="68" t="s">
        <v>412</v>
      </c>
      <c r="F255" s="69">
        <f>F256</f>
        <v>32.1</v>
      </c>
      <c r="G255" s="69">
        <f aca="true" t="shared" si="119" ref="G255:H255">G256</f>
        <v>33.2</v>
      </c>
      <c r="H255" s="69">
        <f t="shared" si="119"/>
        <v>34.3</v>
      </c>
    </row>
    <row r="256" spans="1:8" ht="33">
      <c r="A256" s="67" t="s">
        <v>25</v>
      </c>
      <c r="B256" s="67" t="s">
        <v>67</v>
      </c>
      <c r="C256" s="67" t="s">
        <v>246</v>
      </c>
      <c r="D256" s="67" t="s">
        <v>413</v>
      </c>
      <c r="E256" s="68" t="s">
        <v>414</v>
      </c>
      <c r="F256" s="69">
        <v>32.1</v>
      </c>
      <c r="G256" s="69">
        <v>33.2</v>
      </c>
      <c r="H256" s="69">
        <v>34.3</v>
      </c>
    </row>
    <row r="257" spans="1:8" ht="33">
      <c r="A257" s="67" t="s">
        <v>25</v>
      </c>
      <c r="B257" s="67" t="s">
        <v>67</v>
      </c>
      <c r="C257" s="31">
        <v>9900000000</v>
      </c>
      <c r="D257" s="89"/>
      <c r="E257" s="32" t="s">
        <v>506</v>
      </c>
      <c r="F257" s="69">
        <f>F258</f>
        <v>569.6</v>
      </c>
      <c r="G257" s="69">
        <f aca="true" t="shared" si="120" ref="G257:H258">G258</f>
        <v>0</v>
      </c>
      <c r="H257" s="69">
        <f t="shared" si="120"/>
        <v>0</v>
      </c>
    </row>
    <row r="258" spans="1:8" ht="49.5">
      <c r="A258" s="67" t="s">
        <v>25</v>
      </c>
      <c r="B258" s="67" t="s">
        <v>67</v>
      </c>
      <c r="C258" s="31">
        <v>9950000000</v>
      </c>
      <c r="D258" s="87"/>
      <c r="E258" s="5" t="s">
        <v>625</v>
      </c>
      <c r="F258" s="69">
        <f>F259</f>
        <v>569.6</v>
      </c>
      <c r="G258" s="69">
        <f t="shared" si="120"/>
        <v>0</v>
      </c>
      <c r="H258" s="69">
        <f t="shared" si="120"/>
        <v>0</v>
      </c>
    </row>
    <row r="259" spans="1:8" ht="49.5">
      <c r="A259" s="67" t="s">
        <v>25</v>
      </c>
      <c r="B259" s="67" t="s">
        <v>67</v>
      </c>
      <c r="C259" s="31" t="s">
        <v>626</v>
      </c>
      <c r="D259" s="87"/>
      <c r="E259" s="5" t="s">
        <v>627</v>
      </c>
      <c r="F259" s="69">
        <f>F260+F261</f>
        <v>569.6</v>
      </c>
      <c r="G259" s="69">
        <f aca="true" t="shared" si="121" ref="G259:H259">G260+G261</f>
        <v>0</v>
      </c>
      <c r="H259" s="69">
        <f t="shared" si="121"/>
        <v>0</v>
      </c>
    </row>
    <row r="260" spans="1:8" ht="33">
      <c r="A260" s="67" t="s">
        <v>25</v>
      </c>
      <c r="B260" s="67" t="s">
        <v>67</v>
      </c>
      <c r="C260" s="31" t="s">
        <v>626</v>
      </c>
      <c r="D260" s="67" t="s">
        <v>96</v>
      </c>
      <c r="E260" s="68" t="s">
        <v>342</v>
      </c>
      <c r="F260" s="69">
        <v>30</v>
      </c>
      <c r="G260" s="69">
        <v>0</v>
      </c>
      <c r="H260" s="69">
        <v>0</v>
      </c>
    </row>
    <row r="261" spans="1:8" ht="33">
      <c r="A261" s="67" t="s">
        <v>25</v>
      </c>
      <c r="B261" s="67" t="s">
        <v>67</v>
      </c>
      <c r="C261" s="31" t="s">
        <v>626</v>
      </c>
      <c r="D261" s="180">
        <v>600</v>
      </c>
      <c r="E261" s="5" t="s">
        <v>117</v>
      </c>
      <c r="F261" s="69">
        <v>539.6</v>
      </c>
      <c r="G261" s="69">
        <v>0</v>
      </c>
      <c r="H261" s="69">
        <v>0</v>
      </c>
    </row>
    <row r="262" spans="1:8" ht="12.75">
      <c r="A262" s="67" t="s">
        <v>25</v>
      </c>
      <c r="B262" s="67" t="s">
        <v>64</v>
      </c>
      <c r="C262" s="67" t="s">
        <v>93</v>
      </c>
      <c r="D262" s="67" t="s">
        <v>93</v>
      </c>
      <c r="E262" s="21" t="s">
        <v>56</v>
      </c>
      <c r="F262" s="69">
        <f>F263+F270</f>
        <v>2001.3</v>
      </c>
      <c r="G262" s="69">
        <f aca="true" t="shared" si="122" ref="G262:H262">G263+G270</f>
        <v>2527.7</v>
      </c>
      <c r="H262" s="69">
        <f t="shared" si="122"/>
        <v>2540.3</v>
      </c>
    </row>
    <row r="263" spans="1:8" ht="12.75">
      <c r="A263" s="67" t="s">
        <v>25</v>
      </c>
      <c r="B263" s="67" t="s">
        <v>80</v>
      </c>
      <c r="C263" s="67" t="s">
        <v>93</v>
      </c>
      <c r="D263" s="67" t="s">
        <v>93</v>
      </c>
      <c r="E263" s="68" t="s">
        <v>57</v>
      </c>
      <c r="F263" s="69">
        <f>F264</f>
        <v>1313.3</v>
      </c>
      <c r="G263" s="69">
        <f aca="true" t="shared" si="123" ref="G263:H266">G264</f>
        <v>1773.5</v>
      </c>
      <c r="H263" s="69">
        <f t="shared" si="123"/>
        <v>1773.5</v>
      </c>
    </row>
    <row r="264" spans="1:8" ht="66">
      <c r="A264" s="67" t="s">
        <v>25</v>
      </c>
      <c r="B264" s="67" t="s">
        <v>80</v>
      </c>
      <c r="C264" s="67" t="s">
        <v>200</v>
      </c>
      <c r="D264" s="67" t="s">
        <v>93</v>
      </c>
      <c r="E264" s="68" t="s">
        <v>339</v>
      </c>
      <c r="F264" s="69">
        <f>F265</f>
        <v>1313.3</v>
      </c>
      <c r="G264" s="69">
        <f t="shared" si="123"/>
        <v>1773.5</v>
      </c>
      <c r="H264" s="69">
        <f t="shared" si="123"/>
        <v>1773.5</v>
      </c>
    </row>
    <row r="265" spans="1:8" ht="33">
      <c r="A265" s="67" t="s">
        <v>25</v>
      </c>
      <c r="B265" s="67" t="s">
        <v>80</v>
      </c>
      <c r="C265" s="67" t="s">
        <v>249</v>
      </c>
      <c r="D265" s="67" t="s">
        <v>93</v>
      </c>
      <c r="E265" s="68" t="s">
        <v>154</v>
      </c>
      <c r="F265" s="69">
        <f>F266</f>
        <v>1313.3</v>
      </c>
      <c r="G265" s="69">
        <f t="shared" si="123"/>
        <v>1773.5</v>
      </c>
      <c r="H265" s="69">
        <f t="shared" si="123"/>
        <v>1773.5</v>
      </c>
    </row>
    <row r="266" spans="1:8" ht="49.5">
      <c r="A266" s="67" t="s">
        <v>25</v>
      </c>
      <c r="B266" s="67" t="s">
        <v>80</v>
      </c>
      <c r="C266" s="67" t="s">
        <v>415</v>
      </c>
      <c r="D266" s="231" t="s">
        <v>93</v>
      </c>
      <c r="E266" s="68" t="s">
        <v>416</v>
      </c>
      <c r="F266" s="69">
        <f>F267</f>
        <v>1313.3</v>
      </c>
      <c r="G266" s="69">
        <f t="shared" si="123"/>
        <v>1773.5</v>
      </c>
      <c r="H266" s="69">
        <f t="shared" si="123"/>
        <v>1773.5</v>
      </c>
    </row>
    <row r="267" spans="1:8" ht="66">
      <c r="A267" s="67" t="s">
        <v>25</v>
      </c>
      <c r="B267" s="67" t="s">
        <v>80</v>
      </c>
      <c r="C267" s="67" t="s">
        <v>250</v>
      </c>
      <c r="D267" s="67" t="s">
        <v>93</v>
      </c>
      <c r="E267" s="68" t="s">
        <v>94</v>
      </c>
      <c r="F267" s="69">
        <f>F269+F268</f>
        <v>1313.3</v>
      </c>
      <c r="G267" s="69">
        <f aca="true" t="shared" si="124" ref="G267:H267">G269+G268</f>
        <v>1773.5</v>
      </c>
      <c r="H267" s="69">
        <f t="shared" si="124"/>
        <v>1773.5</v>
      </c>
    </row>
    <row r="268" spans="1:8" ht="33">
      <c r="A268" s="67" t="s">
        <v>25</v>
      </c>
      <c r="B268" s="67" t="s">
        <v>80</v>
      </c>
      <c r="C268" s="67" t="s">
        <v>250</v>
      </c>
      <c r="D268" s="67" t="s">
        <v>96</v>
      </c>
      <c r="E268" s="68" t="s">
        <v>342</v>
      </c>
      <c r="F268" s="69">
        <v>105.9</v>
      </c>
      <c r="G268" s="69">
        <v>0</v>
      </c>
      <c r="H268" s="69">
        <v>0</v>
      </c>
    </row>
    <row r="269" spans="1:8" ht="12.75">
      <c r="A269" s="67" t="s">
        <v>25</v>
      </c>
      <c r="B269" s="67" t="s">
        <v>80</v>
      </c>
      <c r="C269" s="67" t="s">
        <v>250</v>
      </c>
      <c r="D269" s="67" t="s">
        <v>100</v>
      </c>
      <c r="E269" s="68" t="s">
        <v>101</v>
      </c>
      <c r="F269" s="69">
        <f>1773.5-105.9-460.2</f>
        <v>1207.3999999999999</v>
      </c>
      <c r="G269" s="69">
        <v>1773.5</v>
      </c>
      <c r="H269" s="69">
        <v>1773.5</v>
      </c>
    </row>
    <row r="270" spans="1:8" ht="12.75">
      <c r="A270" s="67" t="s">
        <v>25</v>
      </c>
      <c r="B270" s="67" t="s">
        <v>65</v>
      </c>
      <c r="C270" s="67" t="s">
        <v>93</v>
      </c>
      <c r="D270" s="67" t="s">
        <v>93</v>
      </c>
      <c r="E270" s="68" t="s">
        <v>59</v>
      </c>
      <c r="F270" s="69">
        <f>F271</f>
        <v>688</v>
      </c>
      <c r="G270" s="69">
        <f aca="true" t="shared" si="125" ref="G270:H270">G271</f>
        <v>754.2</v>
      </c>
      <c r="H270" s="69">
        <f t="shared" si="125"/>
        <v>766.8</v>
      </c>
    </row>
    <row r="271" spans="1:8" ht="66">
      <c r="A271" s="67" t="s">
        <v>25</v>
      </c>
      <c r="B271" s="67" t="s">
        <v>65</v>
      </c>
      <c r="C271" s="67" t="s">
        <v>200</v>
      </c>
      <c r="D271" s="67" t="s">
        <v>93</v>
      </c>
      <c r="E271" s="68" t="s">
        <v>339</v>
      </c>
      <c r="F271" s="69">
        <f>F272+F276</f>
        <v>688</v>
      </c>
      <c r="G271" s="69">
        <f aca="true" t="shared" si="126" ref="G271:H271">G272+G276</f>
        <v>754.2</v>
      </c>
      <c r="H271" s="69">
        <f t="shared" si="126"/>
        <v>766.8</v>
      </c>
    </row>
    <row r="272" spans="1:8" ht="66">
      <c r="A272" s="67" t="s">
        <v>25</v>
      </c>
      <c r="B272" s="67" t="s">
        <v>65</v>
      </c>
      <c r="C272" s="67" t="s">
        <v>213</v>
      </c>
      <c r="D272" s="67" t="s">
        <v>93</v>
      </c>
      <c r="E272" s="68" t="s">
        <v>155</v>
      </c>
      <c r="F272" s="69">
        <f>F273</f>
        <v>408</v>
      </c>
      <c r="G272" s="69">
        <f aca="true" t="shared" si="127" ref="G272:H273">G273</f>
        <v>416.2</v>
      </c>
      <c r="H272" s="69">
        <f t="shared" si="127"/>
        <v>424.5</v>
      </c>
    </row>
    <row r="273" spans="1:8" ht="66">
      <c r="A273" s="67" t="s">
        <v>25</v>
      </c>
      <c r="B273" s="67" t="s">
        <v>65</v>
      </c>
      <c r="C273" s="67" t="s">
        <v>357</v>
      </c>
      <c r="D273" s="231" t="s">
        <v>93</v>
      </c>
      <c r="E273" s="68" t="s">
        <v>358</v>
      </c>
      <c r="F273" s="69">
        <f>F274</f>
        <v>408</v>
      </c>
      <c r="G273" s="69">
        <f t="shared" si="127"/>
        <v>416.2</v>
      </c>
      <c r="H273" s="69">
        <f t="shared" si="127"/>
        <v>424.5</v>
      </c>
    </row>
    <row r="274" spans="1:8" ht="49.5">
      <c r="A274" s="67" t="s">
        <v>25</v>
      </c>
      <c r="B274" s="67" t="s">
        <v>65</v>
      </c>
      <c r="C274" s="67" t="s">
        <v>251</v>
      </c>
      <c r="D274" s="67" t="s">
        <v>93</v>
      </c>
      <c r="E274" s="68" t="s">
        <v>417</v>
      </c>
      <c r="F274" s="69">
        <f>F275</f>
        <v>408</v>
      </c>
      <c r="G274" s="69">
        <f aca="true" t="shared" si="128" ref="G274:H274">G275</f>
        <v>416.2</v>
      </c>
      <c r="H274" s="69">
        <f t="shared" si="128"/>
        <v>424.5</v>
      </c>
    </row>
    <row r="275" spans="1:8" ht="33">
      <c r="A275" s="67" t="s">
        <v>25</v>
      </c>
      <c r="B275" s="67" t="s">
        <v>65</v>
      </c>
      <c r="C275" s="67" t="s">
        <v>251</v>
      </c>
      <c r="D275" s="67" t="s">
        <v>413</v>
      </c>
      <c r="E275" s="68" t="s">
        <v>414</v>
      </c>
      <c r="F275" s="69">
        <v>408</v>
      </c>
      <c r="G275" s="69">
        <v>416.2</v>
      </c>
      <c r="H275" s="69">
        <v>424.5</v>
      </c>
    </row>
    <row r="276" spans="1:8" ht="33">
      <c r="A276" s="67" t="s">
        <v>25</v>
      </c>
      <c r="B276" s="67" t="s">
        <v>65</v>
      </c>
      <c r="C276" s="67" t="s">
        <v>249</v>
      </c>
      <c r="D276" s="67" t="s">
        <v>93</v>
      </c>
      <c r="E276" s="68" t="s">
        <v>154</v>
      </c>
      <c r="F276" s="69">
        <f>F277+F281</f>
        <v>280</v>
      </c>
      <c r="G276" s="69">
        <f aca="true" t="shared" si="129" ref="G276:H276">G277+G281</f>
        <v>338</v>
      </c>
      <c r="H276" s="69">
        <f t="shared" si="129"/>
        <v>342.3</v>
      </c>
    </row>
    <row r="277" spans="1:8" ht="49.5">
      <c r="A277" s="67" t="s">
        <v>25</v>
      </c>
      <c r="B277" s="67" t="s">
        <v>65</v>
      </c>
      <c r="C277" s="67" t="s">
        <v>415</v>
      </c>
      <c r="D277" s="231" t="s">
        <v>93</v>
      </c>
      <c r="E277" s="68" t="s">
        <v>416</v>
      </c>
      <c r="F277" s="69">
        <f>F278</f>
        <v>121</v>
      </c>
      <c r="G277" s="69">
        <f aca="true" t="shared" si="130" ref="G277:H277">G278</f>
        <v>121</v>
      </c>
      <c r="H277" s="69">
        <f t="shared" si="130"/>
        <v>121</v>
      </c>
    </row>
    <row r="278" spans="1:8" ht="49.5">
      <c r="A278" s="67" t="s">
        <v>25</v>
      </c>
      <c r="B278" s="67" t="s">
        <v>65</v>
      </c>
      <c r="C278" s="67" t="s">
        <v>253</v>
      </c>
      <c r="D278" s="67" t="s">
        <v>93</v>
      </c>
      <c r="E278" s="68" t="s">
        <v>418</v>
      </c>
      <c r="F278" s="69">
        <f>F280+F279</f>
        <v>121</v>
      </c>
      <c r="G278" s="69">
        <f aca="true" t="shared" si="131" ref="G278:H278">G280+G279</f>
        <v>121</v>
      </c>
      <c r="H278" s="69">
        <f t="shared" si="131"/>
        <v>121</v>
      </c>
    </row>
    <row r="279" spans="1:8" ht="33">
      <c r="A279" s="67" t="s">
        <v>25</v>
      </c>
      <c r="B279" s="67" t="s">
        <v>65</v>
      </c>
      <c r="C279" s="67" t="s">
        <v>253</v>
      </c>
      <c r="D279" s="67" t="s">
        <v>96</v>
      </c>
      <c r="E279" s="68" t="s">
        <v>342</v>
      </c>
      <c r="F279" s="69">
        <v>6.8</v>
      </c>
      <c r="G279" s="69">
        <v>0</v>
      </c>
      <c r="H279" s="69">
        <v>0</v>
      </c>
    </row>
    <row r="280" spans="1:8" ht="12.75">
      <c r="A280" s="67" t="s">
        <v>25</v>
      </c>
      <c r="B280" s="67" t="s">
        <v>65</v>
      </c>
      <c r="C280" s="67" t="s">
        <v>253</v>
      </c>
      <c r="D280" s="67" t="s">
        <v>100</v>
      </c>
      <c r="E280" s="68" t="s">
        <v>101</v>
      </c>
      <c r="F280" s="69">
        <f>121-6.8</f>
        <v>114.2</v>
      </c>
      <c r="G280" s="69">
        <v>121</v>
      </c>
      <c r="H280" s="69">
        <v>121</v>
      </c>
    </row>
    <row r="281" spans="1:8" ht="82.5">
      <c r="A281" s="67" t="s">
        <v>25</v>
      </c>
      <c r="B281" s="67" t="s">
        <v>65</v>
      </c>
      <c r="C281" s="67" t="s">
        <v>419</v>
      </c>
      <c r="D281" s="231" t="s">
        <v>93</v>
      </c>
      <c r="E281" s="68" t="s">
        <v>420</v>
      </c>
      <c r="F281" s="69">
        <f>F282</f>
        <v>159</v>
      </c>
      <c r="G281" s="69">
        <f aca="true" t="shared" si="132" ref="G281:H282">G282</f>
        <v>217</v>
      </c>
      <c r="H281" s="69">
        <f t="shared" si="132"/>
        <v>221.3</v>
      </c>
    </row>
    <row r="282" spans="1:8" ht="33">
      <c r="A282" s="67" t="s">
        <v>25</v>
      </c>
      <c r="B282" s="67" t="s">
        <v>65</v>
      </c>
      <c r="C282" s="67" t="s">
        <v>252</v>
      </c>
      <c r="D282" s="67" t="s">
        <v>93</v>
      </c>
      <c r="E282" s="68" t="s">
        <v>196</v>
      </c>
      <c r="F282" s="69">
        <f>F283</f>
        <v>159</v>
      </c>
      <c r="G282" s="69">
        <f t="shared" si="132"/>
        <v>217</v>
      </c>
      <c r="H282" s="69">
        <f t="shared" si="132"/>
        <v>221.3</v>
      </c>
    </row>
    <row r="283" spans="1:8" ht="12.75">
      <c r="A283" s="67" t="s">
        <v>25</v>
      </c>
      <c r="B283" s="67" t="s">
        <v>65</v>
      </c>
      <c r="C283" s="67" t="s">
        <v>252</v>
      </c>
      <c r="D283" s="67" t="s">
        <v>100</v>
      </c>
      <c r="E283" s="68" t="s">
        <v>101</v>
      </c>
      <c r="F283" s="69">
        <f>212.7-53.7</f>
        <v>159</v>
      </c>
      <c r="G283" s="69">
        <v>217</v>
      </c>
      <c r="H283" s="69">
        <v>221.3</v>
      </c>
    </row>
    <row r="284" spans="1:8" ht="12.75">
      <c r="A284" s="67" t="s">
        <v>25</v>
      </c>
      <c r="B284" s="67" t="s">
        <v>332</v>
      </c>
      <c r="C284" s="67" t="s">
        <v>93</v>
      </c>
      <c r="D284" s="67" t="s">
        <v>93</v>
      </c>
      <c r="E284" s="5" t="s">
        <v>90</v>
      </c>
      <c r="F284" s="69">
        <f>F285</f>
        <v>2554.5</v>
      </c>
      <c r="G284" s="69">
        <f aca="true" t="shared" si="133" ref="G284:H284">G285</f>
        <v>2110</v>
      </c>
      <c r="H284" s="69">
        <f t="shared" si="133"/>
        <v>2152.2</v>
      </c>
    </row>
    <row r="285" spans="1:8" ht="33">
      <c r="A285" s="67" t="s">
        <v>25</v>
      </c>
      <c r="B285" s="67" t="s">
        <v>91</v>
      </c>
      <c r="C285" s="67" t="s">
        <v>93</v>
      </c>
      <c r="D285" s="67" t="s">
        <v>93</v>
      </c>
      <c r="E285" s="68" t="s">
        <v>92</v>
      </c>
      <c r="F285" s="69">
        <f>F286</f>
        <v>2554.5</v>
      </c>
      <c r="G285" s="69">
        <f aca="true" t="shared" si="134" ref="G285:H287">G286</f>
        <v>2110</v>
      </c>
      <c r="H285" s="69">
        <f t="shared" si="134"/>
        <v>2152.2</v>
      </c>
    </row>
    <row r="286" spans="1:8" ht="66">
      <c r="A286" s="67" t="s">
        <v>25</v>
      </c>
      <c r="B286" s="67" t="s">
        <v>91</v>
      </c>
      <c r="C286" s="67" t="s">
        <v>200</v>
      </c>
      <c r="D286" s="67" t="s">
        <v>93</v>
      </c>
      <c r="E286" s="68" t="s">
        <v>339</v>
      </c>
      <c r="F286" s="69">
        <f>F287</f>
        <v>2554.5</v>
      </c>
      <c r="G286" s="69">
        <f t="shared" si="134"/>
        <v>2110</v>
      </c>
      <c r="H286" s="69">
        <f t="shared" si="134"/>
        <v>2152.2</v>
      </c>
    </row>
    <row r="287" spans="1:8" ht="66">
      <c r="A287" s="67" t="s">
        <v>25</v>
      </c>
      <c r="B287" s="67" t="s">
        <v>91</v>
      </c>
      <c r="C287" s="67" t="s">
        <v>213</v>
      </c>
      <c r="D287" s="67" t="s">
        <v>93</v>
      </c>
      <c r="E287" s="68" t="s">
        <v>155</v>
      </c>
      <c r="F287" s="69">
        <f>F288</f>
        <v>2554.5</v>
      </c>
      <c r="G287" s="69">
        <f t="shared" si="134"/>
        <v>2110</v>
      </c>
      <c r="H287" s="69">
        <f t="shared" si="134"/>
        <v>2152.2</v>
      </c>
    </row>
    <row r="288" spans="1:8" ht="49.5">
      <c r="A288" s="67" t="s">
        <v>25</v>
      </c>
      <c r="B288" s="67" t="s">
        <v>91</v>
      </c>
      <c r="C288" s="67" t="s">
        <v>421</v>
      </c>
      <c r="D288" s="231" t="s">
        <v>93</v>
      </c>
      <c r="E288" s="68" t="s">
        <v>422</v>
      </c>
      <c r="F288" s="69">
        <f>F291+F293+F295+F289</f>
        <v>2554.5</v>
      </c>
      <c r="G288" s="69">
        <f aca="true" t="shared" si="135" ref="G288:H288">G291+G293+G295+G289</f>
        <v>2110</v>
      </c>
      <c r="H288" s="69">
        <f t="shared" si="135"/>
        <v>2152.2</v>
      </c>
    </row>
    <row r="289" spans="1:8" ht="99">
      <c r="A289" s="15" t="s">
        <v>25</v>
      </c>
      <c r="B289" s="15" t="s">
        <v>91</v>
      </c>
      <c r="C289" s="6" t="s">
        <v>586</v>
      </c>
      <c r="D289" s="180"/>
      <c r="E289" s="5" t="s">
        <v>587</v>
      </c>
      <c r="F289" s="69">
        <f>F290</f>
        <v>485.9</v>
      </c>
      <c r="G289" s="69">
        <f aca="true" t="shared" si="136" ref="G289:H289">G290</f>
        <v>0</v>
      </c>
      <c r="H289" s="69">
        <f t="shared" si="136"/>
        <v>0</v>
      </c>
    </row>
    <row r="290" spans="1:8" ht="12.75">
      <c r="A290" s="15" t="s">
        <v>25</v>
      </c>
      <c r="B290" s="15" t="s">
        <v>91</v>
      </c>
      <c r="C290" s="6" t="s">
        <v>586</v>
      </c>
      <c r="D290" s="180" t="s">
        <v>97</v>
      </c>
      <c r="E290" s="5" t="s">
        <v>98</v>
      </c>
      <c r="F290" s="69">
        <v>485.9</v>
      </c>
      <c r="G290" s="69">
        <v>0</v>
      </c>
      <c r="H290" s="69">
        <v>0</v>
      </c>
    </row>
    <row r="291" spans="1:8" ht="99">
      <c r="A291" s="67" t="s">
        <v>25</v>
      </c>
      <c r="B291" s="67" t="s">
        <v>91</v>
      </c>
      <c r="C291" s="67" t="s">
        <v>254</v>
      </c>
      <c r="D291" s="67" t="s">
        <v>93</v>
      </c>
      <c r="E291" s="68" t="s">
        <v>423</v>
      </c>
      <c r="F291" s="69">
        <f>F292</f>
        <v>942.5</v>
      </c>
      <c r="G291" s="69">
        <f aca="true" t="shared" si="137" ref="G291:H291">G292</f>
        <v>961.4</v>
      </c>
      <c r="H291" s="69">
        <f t="shared" si="137"/>
        <v>980.6</v>
      </c>
    </row>
    <row r="292" spans="1:8" ht="12.75">
      <c r="A292" s="67" t="s">
        <v>25</v>
      </c>
      <c r="B292" s="67" t="s">
        <v>91</v>
      </c>
      <c r="C292" s="67" t="s">
        <v>254</v>
      </c>
      <c r="D292" s="67" t="s">
        <v>97</v>
      </c>
      <c r="E292" s="68" t="s">
        <v>98</v>
      </c>
      <c r="F292" s="69">
        <v>942.5</v>
      </c>
      <c r="G292" s="69">
        <v>961.4</v>
      </c>
      <c r="H292" s="69">
        <v>980.6</v>
      </c>
    </row>
    <row r="293" spans="1:8" ht="99">
      <c r="A293" s="67" t="s">
        <v>25</v>
      </c>
      <c r="B293" s="67" t="s">
        <v>91</v>
      </c>
      <c r="C293" s="67" t="s">
        <v>255</v>
      </c>
      <c r="D293" s="67" t="s">
        <v>93</v>
      </c>
      <c r="E293" s="68" t="s">
        <v>193</v>
      </c>
      <c r="F293" s="69">
        <f>F294</f>
        <v>489.6</v>
      </c>
      <c r="G293" s="69">
        <f aca="true" t="shared" si="138" ref="G293:H293">G294</f>
        <v>499.4</v>
      </c>
      <c r="H293" s="69">
        <f t="shared" si="138"/>
        <v>509.4</v>
      </c>
    </row>
    <row r="294" spans="1:8" ht="12.75">
      <c r="A294" s="67" t="s">
        <v>25</v>
      </c>
      <c r="B294" s="67" t="s">
        <v>91</v>
      </c>
      <c r="C294" s="67" t="s">
        <v>255</v>
      </c>
      <c r="D294" s="67" t="s">
        <v>97</v>
      </c>
      <c r="E294" s="68" t="s">
        <v>98</v>
      </c>
      <c r="F294" s="69">
        <v>489.6</v>
      </c>
      <c r="G294" s="69">
        <v>499.4</v>
      </c>
      <c r="H294" s="69">
        <v>509.4</v>
      </c>
    </row>
    <row r="295" spans="1:8" ht="82.5">
      <c r="A295" s="67" t="s">
        <v>25</v>
      </c>
      <c r="B295" s="67" t="s">
        <v>91</v>
      </c>
      <c r="C295" s="67" t="s">
        <v>424</v>
      </c>
      <c r="D295" s="67" t="s">
        <v>93</v>
      </c>
      <c r="E295" s="68" t="s">
        <v>425</v>
      </c>
      <c r="F295" s="69">
        <f>F296</f>
        <v>636.5</v>
      </c>
      <c r="G295" s="69">
        <f aca="true" t="shared" si="139" ref="G295:H295">G296</f>
        <v>649.2</v>
      </c>
      <c r="H295" s="69">
        <f t="shared" si="139"/>
        <v>662.2</v>
      </c>
    </row>
    <row r="296" spans="1:8" ht="12.75">
      <c r="A296" s="67" t="s">
        <v>25</v>
      </c>
      <c r="B296" s="67" t="s">
        <v>91</v>
      </c>
      <c r="C296" s="67" t="s">
        <v>424</v>
      </c>
      <c r="D296" s="67" t="s">
        <v>97</v>
      </c>
      <c r="E296" s="68" t="s">
        <v>98</v>
      </c>
      <c r="F296" s="69">
        <v>636.5</v>
      </c>
      <c r="G296" s="69">
        <v>649.2</v>
      </c>
      <c r="H296" s="69">
        <v>662.2</v>
      </c>
    </row>
    <row r="297" spans="1:8" ht="33">
      <c r="A297" s="228" t="s">
        <v>60</v>
      </c>
      <c r="B297" s="67" t="s">
        <v>93</v>
      </c>
      <c r="C297" s="231" t="s">
        <v>93</v>
      </c>
      <c r="D297" s="231" t="s">
        <v>93</v>
      </c>
      <c r="E297" s="229" t="s">
        <v>596</v>
      </c>
      <c r="F297" s="230">
        <f>F298+F322</f>
        <v>12589.2</v>
      </c>
      <c r="G297" s="230">
        <f>G298+G322</f>
        <v>11422.599999999999</v>
      </c>
      <c r="H297" s="230">
        <f>H298+H322</f>
        <v>11208.5</v>
      </c>
    </row>
    <row r="298" spans="1:8" ht="12.75">
      <c r="A298" s="67" t="s">
        <v>60</v>
      </c>
      <c r="B298" s="67" t="s">
        <v>81</v>
      </c>
      <c r="C298" s="67" t="s">
        <v>93</v>
      </c>
      <c r="D298" s="67" t="s">
        <v>93</v>
      </c>
      <c r="E298" s="14" t="s">
        <v>26</v>
      </c>
      <c r="F298" s="69">
        <f>F299+F307+F312</f>
        <v>12063.7</v>
      </c>
      <c r="G298" s="69">
        <f aca="true" t="shared" si="140" ref="G298:H298">G299+G307+G312</f>
        <v>11185.3</v>
      </c>
      <c r="H298" s="69">
        <f t="shared" si="140"/>
        <v>11208.5</v>
      </c>
    </row>
    <row r="299" spans="1:8" ht="49.5">
      <c r="A299" s="67" t="s">
        <v>60</v>
      </c>
      <c r="B299" s="67" t="s">
        <v>71</v>
      </c>
      <c r="C299" s="67" t="s">
        <v>93</v>
      </c>
      <c r="D299" s="67" t="s">
        <v>93</v>
      </c>
      <c r="E299" s="68" t="s">
        <v>12</v>
      </c>
      <c r="F299" s="69">
        <f>F300</f>
        <v>9521.5</v>
      </c>
      <c r="G299" s="69">
        <f aca="true" t="shared" si="141" ref="G299:H302">G300</f>
        <v>9521.5</v>
      </c>
      <c r="H299" s="69">
        <f t="shared" si="141"/>
        <v>9521.5</v>
      </c>
    </row>
    <row r="300" spans="1:8" ht="49.5">
      <c r="A300" s="67" t="s">
        <v>60</v>
      </c>
      <c r="B300" s="67" t="s">
        <v>71</v>
      </c>
      <c r="C300" s="67" t="s">
        <v>256</v>
      </c>
      <c r="D300" s="67" t="s">
        <v>93</v>
      </c>
      <c r="E300" s="68" t="s">
        <v>426</v>
      </c>
      <c r="F300" s="69">
        <f>F301</f>
        <v>9521.5</v>
      </c>
      <c r="G300" s="69">
        <f t="shared" si="141"/>
        <v>9521.5</v>
      </c>
      <c r="H300" s="69">
        <f t="shared" si="141"/>
        <v>9521.5</v>
      </c>
    </row>
    <row r="301" spans="1:8" ht="12.75">
      <c r="A301" s="67" t="s">
        <v>60</v>
      </c>
      <c r="B301" s="67" t="s">
        <v>71</v>
      </c>
      <c r="C301" s="67" t="s">
        <v>257</v>
      </c>
      <c r="D301" s="67" t="s">
        <v>93</v>
      </c>
      <c r="E301" s="68" t="s">
        <v>2</v>
      </c>
      <c r="F301" s="69">
        <f>F302</f>
        <v>9521.5</v>
      </c>
      <c r="G301" s="69">
        <f t="shared" si="141"/>
        <v>9521.5</v>
      </c>
      <c r="H301" s="69">
        <f t="shared" si="141"/>
        <v>9521.5</v>
      </c>
    </row>
    <row r="302" spans="1:8" ht="12.75">
      <c r="A302" s="67" t="s">
        <v>60</v>
      </c>
      <c r="B302" s="67" t="s">
        <v>71</v>
      </c>
      <c r="C302" s="67" t="s">
        <v>427</v>
      </c>
      <c r="D302" s="231" t="s">
        <v>93</v>
      </c>
      <c r="E302" s="68" t="s">
        <v>428</v>
      </c>
      <c r="F302" s="69">
        <f>F303</f>
        <v>9521.5</v>
      </c>
      <c r="G302" s="69">
        <f t="shared" si="141"/>
        <v>9521.5</v>
      </c>
      <c r="H302" s="69">
        <f t="shared" si="141"/>
        <v>9521.5</v>
      </c>
    </row>
    <row r="303" spans="1:8" ht="82.5">
      <c r="A303" s="67" t="s">
        <v>60</v>
      </c>
      <c r="B303" s="67" t="s">
        <v>71</v>
      </c>
      <c r="C303" s="67" t="s">
        <v>258</v>
      </c>
      <c r="D303" s="67" t="s">
        <v>93</v>
      </c>
      <c r="E303" s="68" t="s">
        <v>343</v>
      </c>
      <c r="F303" s="69">
        <f>F304+F305+F306</f>
        <v>9521.5</v>
      </c>
      <c r="G303" s="69">
        <f aca="true" t="shared" si="142" ref="G303:H303">G304+G305+G306</f>
        <v>9521.5</v>
      </c>
      <c r="H303" s="69">
        <f t="shared" si="142"/>
        <v>9521.5</v>
      </c>
    </row>
    <row r="304" spans="1:8" ht="82.5">
      <c r="A304" s="67" t="s">
        <v>60</v>
      </c>
      <c r="B304" s="67" t="s">
        <v>71</v>
      </c>
      <c r="C304" s="67" t="s">
        <v>258</v>
      </c>
      <c r="D304" s="67" t="s">
        <v>95</v>
      </c>
      <c r="E304" s="68" t="s">
        <v>3</v>
      </c>
      <c r="F304" s="69">
        <v>8007.7</v>
      </c>
      <c r="G304" s="69">
        <v>8007.7</v>
      </c>
      <c r="H304" s="69">
        <v>8007.7</v>
      </c>
    </row>
    <row r="305" spans="1:8" ht="33">
      <c r="A305" s="67" t="s">
        <v>60</v>
      </c>
      <c r="B305" s="67" t="s">
        <v>71</v>
      </c>
      <c r="C305" s="67" t="s">
        <v>258</v>
      </c>
      <c r="D305" s="67" t="s">
        <v>96</v>
      </c>
      <c r="E305" s="68" t="s">
        <v>342</v>
      </c>
      <c r="F305" s="69">
        <f>1395.4+29.8</f>
        <v>1425.2</v>
      </c>
      <c r="G305" s="69">
        <v>1395.4</v>
      </c>
      <c r="H305" s="69">
        <v>1395.4</v>
      </c>
    </row>
    <row r="306" spans="1:8" ht="12.75">
      <c r="A306" s="67" t="s">
        <v>60</v>
      </c>
      <c r="B306" s="67" t="s">
        <v>71</v>
      </c>
      <c r="C306" s="67" t="s">
        <v>258</v>
      </c>
      <c r="D306" s="67" t="s">
        <v>97</v>
      </c>
      <c r="E306" s="68" t="s">
        <v>98</v>
      </c>
      <c r="F306" s="69">
        <f>118.4-29.8</f>
        <v>88.60000000000001</v>
      </c>
      <c r="G306" s="69">
        <v>118.4</v>
      </c>
      <c r="H306" s="69">
        <v>118.4</v>
      </c>
    </row>
    <row r="307" spans="1:8" ht="12.75">
      <c r="A307" s="67" t="s">
        <v>60</v>
      </c>
      <c r="B307" s="67" t="s">
        <v>72</v>
      </c>
      <c r="C307" s="67" t="s">
        <v>93</v>
      </c>
      <c r="D307" s="67" t="s">
        <v>93</v>
      </c>
      <c r="E307" s="68" t="s">
        <v>13</v>
      </c>
      <c r="F307" s="69">
        <f aca="true" t="shared" si="143" ref="F307:H310">F308</f>
        <v>1401.2</v>
      </c>
      <c r="G307" s="69">
        <f t="shared" si="143"/>
        <v>500</v>
      </c>
      <c r="H307" s="69">
        <f t="shared" si="143"/>
        <v>500</v>
      </c>
    </row>
    <row r="308" spans="1:8" ht="33">
      <c r="A308" s="67" t="s">
        <v>60</v>
      </c>
      <c r="B308" s="67" t="s">
        <v>72</v>
      </c>
      <c r="C308" s="67" t="s">
        <v>312</v>
      </c>
      <c r="D308" s="67" t="s">
        <v>93</v>
      </c>
      <c r="E308" s="68" t="s">
        <v>429</v>
      </c>
      <c r="F308" s="69">
        <f t="shared" si="143"/>
        <v>1401.2</v>
      </c>
      <c r="G308" s="69">
        <f t="shared" si="143"/>
        <v>500</v>
      </c>
      <c r="H308" s="69">
        <f t="shared" si="143"/>
        <v>500</v>
      </c>
    </row>
    <row r="309" spans="1:8" ht="12.75">
      <c r="A309" s="67" t="s">
        <v>60</v>
      </c>
      <c r="B309" s="67" t="s">
        <v>72</v>
      </c>
      <c r="C309" s="67" t="s">
        <v>430</v>
      </c>
      <c r="D309" s="67" t="s">
        <v>93</v>
      </c>
      <c r="E309" s="68" t="s">
        <v>13</v>
      </c>
      <c r="F309" s="69">
        <f t="shared" si="143"/>
        <v>1401.2</v>
      </c>
      <c r="G309" s="69">
        <f t="shared" si="143"/>
        <v>500</v>
      </c>
      <c r="H309" s="69">
        <f t="shared" si="143"/>
        <v>500</v>
      </c>
    </row>
    <row r="310" spans="1:8" ht="33">
      <c r="A310" s="67" t="s">
        <v>60</v>
      </c>
      <c r="B310" s="67" t="s">
        <v>72</v>
      </c>
      <c r="C310" s="67" t="s">
        <v>259</v>
      </c>
      <c r="D310" s="67" t="s">
        <v>93</v>
      </c>
      <c r="E310" s="68" t="s">
        <v>132</v>
      </c>
      <c r="F310" s="69">
        <f t="shared" si="143"/>
        <v>1401.2</v>
      </c>
      <c r="G310" s="69">
        <f t="shared" si="143"/>
        <v>500</v>
      </c>
      <c r="H310" s="69">
        <f t="shared" si="143"/>
        <v>500</v>
      </c>
    </row>
    <row r="311" spans="1:8" ht="12.75">
      <c r="A311" s="67" t="s">
        <v>60</v>
      </c>
      <c r="B311" s="67" t="s">
        <v>72</v>
      </c>
      <c r="C311" s="67" t="s">
        <v>259</v>
      </c>
      <c r="D311" s="67" t="s">
        <v>97</v>
      </c>
      <c r="E311" s="68" t="s">
        <v>98</v>
      </c>
      <c r="F311" s="69">
        <f>2000-598.8</f>
        <v>1401.2</v>
      </c>
      <c r="G311" s="69">
        <v>500</v>
      </c>
      <c r="H311" s="69">
        <v>500</v>
      </c>
    </row>
    <row r="312" spans="1:8" ht="12.75">
      <c r="A312" s="67" t="s">
        <v>60</v>
      </c>
      <c r="B312" s="67" t="s">
        <v>87</v>
      </c>
      <c r="C312" s="67" t="s">
        <v>93</v>
      </c>
      <c r="D312" s="67" t="s">
        <v>93</v>
      </c>
      <c r="E312" s="68" t="s">
        <v>46</v>
      </c>
      <c r="F312" s="69">
        <f>F313</f>
        <v>1141</v>
      </c>
      <c r="G312" s="69">
        <f aca="true" t="shared" si="144" ref="G312:H312">G313</f>
        <v>1163.8</v>
      </c>
      <c r="H312" s="69">
        <f t="shared" si="144"/>
        <v>1187</v>
      </c>
    </row>
    <row r="313" spans="1:8" ht="49.5">
      <c r="A313" s="67" t="s">
        <v>60</v>
      </c>
      <c r="B313" s="67" t="s">
        <v>87</v>
      </c>
      <c r="C313" s="67" t="s">
        <v>256</v>
      </c>
      <c r="D313" s="67" t="s">
        <v>93</v>
      </c>
      <c r="E313" s="68" t="s">
        <v>426</v>
      </c>
      <c r="F313" s="69">
        <f>F314+F318</f>
        <v>1141</v>
      </c>
      <c r="G313" s="69">
        <f aca="true" t="shared" si="145" ref="G313:H313">G314+G318</f>
        <v>1163.8</v>
      </c>
      <c r="H313" s="69">
        <f t="shared" si="145"/>
        <v>1187</v>
      </c>
    </row>
    <row r="314" spans="1:8" ht="33">
      <c r="A314" s="67" t="s">
        <v>60</v>
      </c>
      <c r="B314" s="67" t="s">
        <v>87</v>
      </c>
      <c r="C314" s="67" t="s">
        <v>260</v>
      </c>
      <c r="D314" s="67" t="s">
        <v>93</v>
      </c>
      <c r="E314" s="68" t="s">
        <v>431</v>
      </c>
      <c r="F314" s="69">
        <f>F315</f>
        <v>1114.7</v>
      </c>
      <c r="G314" s="69">
        <f aca="true" t="shared" si="146" ref="G314:H314">G315</f>
        <v>1133.8</v>
      </c>
      <c r="H314" s="69">
        <f t="shared" si="146"/>
        <v>1156</v>
      </c>
    </row>
    <row r="315" spans="1:8" ht="82.5">
      <c r="A315" s="67" t="s">
        <v>60</v>
      </c>
      <c r="B315" s="67" t="s">
        <v>87</v>
      </c>
      <c r="C315" s="67" t="s">
        <v>432</v>
      </c>
      <c r="D315" s="231" t="s">
        <v>93</v>
      </c>
      <c r="E315" s="68" t="s">
        <v>433</v>
      </c>
      <c r="F315" s="69">
        <f>F316</f>
        <v>1114.7</v>
      </c>
      <c r="G315" s="69">
        <f aca="true" t="shared" si="147" ref="G315:H316">G316</f>
        <v>1133.8</v>
      </c>
      <c r="H315" s="69">
        <f t="shared" si="147"/>
        <v>1156</v>
      </c>
    </row>
    <row r="316" spans="1:8" ht="66">
      <c r="A316" s="67" t="s">
        <v>60</v>
      </c>
      <c r="B316" s="67" t="s">
        <v>87</v>
      </c>
      <c r="C316" s="67" t="s">
        <v>261</v>
      </c>
      <c r="D316" s="67" t="s">
        <v>93</v>
      </c>
      <c r="E316" s="68" t="s">
        <v>190</v>
      </c>
      <c r="F316" s="69">
        <f>F317</f>
        <v>1114.7</v>
      </c>
      <c r="G316" s="69">
        <f t="shared" si="147"/>
        <v>1133.8</v>
      </c>
      <c r="H316" s="69">
        <f t="shared" si="147"/>
        <v>1156</v>
      </c>
    </row>
    <row r="317" spans="1:8" ht="33">
      <c r="A317" s="67" t="s">
        <v>60</v>
      </c>
      <c r="B317" s="67" t="s">
        <v>87</v>
      </c>
      <c r="C317" s="67" t="s">
        <v>261</v>
      </c>
      <c r="D317" s="67" t="s">
        <v>96</v>
      </c>
      <c r="E317" s="68" t="s">
        <v>342</v>
      </c>
      <c r="F317" s="69">
        <f>1102+12.7</f>
        <v>1114.7</v>
      </c>
      <c r="G317" s="69">
        <f>1123.8+10</f>
        <v>1133.8</v>
      </c>
      <c r="H317" s="69">
        <f>1146+10</f>
        <v>1156</v>
      </c>
    </row>
    <row r="318" spans="1:8" ht="12.75">
      <c r="A318" s="67" t="s">
        <v>60</v>
      </c>
      <c r="B318" s="67" t="s">
        <v>87</v>
      </c>
      <c r="C318" s="67" t="s">
        <v>262</v>
      </c>
      <c r="D318" s="67" t="s">
        <v>93</v>
      </c>
      <c r="E318" s="68" t="s">
        <v>130</v>
      </c>
      <c r="F318" s="69">
        <f>F319</f>
        <v>26.3</v>
      </c>
      <c r="G318" s="69">
        <f aca="true" t="shared" si="148" ref="G318:H319">G319</f>
        <v>30</v>
      </c>
      <c r="H318" s="69">
        <f t="shared" si="148"/>
        <v>31</v>
      </c>
    </row>
    <row r="319" spans="1:8" ht="49.5">
      <c r="A319" s="67" t="s">
        <v>60</v>
      </c>
      <c r="B319" s="67" t="s">
        <v>87</v>
      </c>
      <c r="C319" s="67" t="s">
        <v>434</v>
      </c>
      <c r="D319" s="231" t="s">
        <v>93</v>
      </c>
      <c r="E319" s="68" t="s">
        <v>435</v>
      </c>
      <c r="F319" s="69">
        <f>F320</f>
        <v>26.3</v>
      </c>
      <c r="G319" s="69">
        <f t="shared" si="148"/>
        <v>30</v>
      </c>
      <c r="H319" s="69">
        <f t="shared" si="148"/>
        <v>31</v>
      </c>
    </row>
    <row r="320" spans="1:8" ht="49.5">
      <c r="A320" s="67" t="s">
        <v>60</v>
      </c>
      <c r="B320" s="67" t="s">
        <v>87</v>
      </c>
      <c r="C320" s="67" t="s">
        <v>263</v>
      </c>
      <c r="D320" s="67" t="s">
        <v>93</v>
      </c>
      <c r="E320" s="68" t="s">
        <v>131</v>
      </c>
      <c r="F320" s="69">
        <f>F321</f>
        <v>26.3</v>
      </c>
      <c r="G320" s="69">
        <f aca="true" t="shared" si="149" ref="G320:H320">G321</f>
        <v>30</v>
      </c>
      <c r="H320" s="69">
        <f t="shared" si="149"/>
        <v>31</v>
      </c>
    </row>
    <row r="321" spans="1:8" ht="33">
      <c r="A321" s="67" t="s">
        <v>60</v>
      </c>
      <c r="B321" s="67" t="s">
        <v>87</v>
      </c>
      <c r="C321" s="67" t="s">
        <v>263</v>
      </c>
      <c r="D321" s="67" t="s">
        <v>96</v>
      </c>
      <c r="E321" s="68" t="s">
        <v>342</v>
      </c>
      <c r="F321" s="69">
        <f>39-12.7</f>
        <v>26.3</v>
      </c>
      <c r="G321" s="69">
        <f>40-10</f>
        <v>30</v>
      </c>
      <c r="H321" s="69">
        <f>41-10</f>
        <v>31</v>
      </c>
    </row>
    <row r="322" spans="1:8" ht="33">
      <c r="A322" s="67" t="s">
        <v>60</v>
      </c>
      <c r="B322" s="67" t="s">
        <v>333</v>
      </c>
      <c r="C322" s="67" t="s">
        <v>93</v>
      </c>
      <c r="D322" s="67" t="s">
        <v>93</v>
      </c>
      <c r="E322" s="68" t="s">
        <v>504</v>
      </c>
      <c r="F322" s="69">
        <f aca="true" t="shared" si="150" ref="F322:H327">F323</f>
        <v>525.5</v>
      </c>
      <c r="G322" s="69">
        <f t="shared" si="150"/>
        <v>237.3</v>
      </c>
      <c r="H322" s="69">
        <f t="shared" si="150"/>
        <v>0</v>
      </c>
    </row>
    <row r="323" spans="1:8" ht="33">
      <c r="A323" s="67" t="s">
        <v>60</v>
      </c>
      <c r="B323" s="67" t="s">
        <v>334</v>
      </c>
      <c r="C323" s="67" t="s">
        <v>93</v>
      </c>
      <c r="D323" s="67" t="s">
        <v>93</v>
      </c>
      <c r="E323" s="68" t="s">
        <v>335</v>
      </c>
      <c r="F323" s="69">
        <f t="shared" si="150"/>
        <v>525.5</v>
      </c>
      <c r="G323" s="69">
        <f t="shared" si="150"/>
        <v>237.3</v>
      </c>
      <c r="H323" s="69">
        <f t="shared" si="150"/>
        <v>0</v>
      </c>
    </row>
    <row r="324" spans="1:8" ht="49.5">
      <c r="A324" s="67" t="s">
        <v>60</v>
      </c>
      <c r="B324" s="67" t="s">
        <v>334</v>
      </c>
      <c r="C324" s="67" t="s">
        <v>256</v>
      </c>
      <c r="D324" s="67" t="s">
        <v>93</v>
      </c>
      <c r="E324" s="68" t="s">
        <v>426</v>
      </c>
      <c r="F324" s="69">
        <f t="shared" si="150"/>
        <v>525.5</v>
      </c>
      <c r="G324" s="69">
        <f t="shared" si="150"/>
        <v>237.3</v>
      </c>
      <c r="H324" s="69">
        <f aca="true" t="shared" si="151" ref="H324:H327">H325</f>
        <v>0</v>
      </c>
    </row>
    <row r="325" spans="1:8" ht="49.5">
      <c r="A325" s="67" t="s">
        <v>60</v>
      </c>
      <c r="B325" s="67" t="s">
        <v>334</v>
      </c>
      <c r="C325" s="67" t="s">
        <v>440</v>
      </c>
      <c r="D325" s="67" t="s">
        <v>93</v>
      </c>
      <c r="E325" s="68" t="s">
        <v>441</v>
      </c>
      <c r="F325" s="69">
        <f t="shared" si="150"/>
        <v>525.5</v>
      </c>
      <c r="G325" s="69">
        <f t="shared" si="150"/>
        <v>237.3</v>
      </c>
      <c r="H325" s="69">
        <f t="shared" si="151"/>
        <v>0</v>
      </c>
    </row>
    <row r="326" spans="1:8" ht="49.5">
      <c r="A326" s="67" t="s">
        <v>60</v>
      </c>
      <c r="B326" s="67" t="s">
        <v>334</v>
      </c>
      <c r="C326" s="67" t="s">
        <v>442</v>
      </c>
      <c r="D326" s="231" t="s">
        <v>93</v>
      </c>
      <c r="E326" s="68" t="s">
        <v>443</v>
      </c>
      <c r="F326" s="69">
        <f t="shared" si="150"/>
        <v>525.5</v>
      </c>
      <c r="G326" s="69">
        <f t="shared" si="150"/>
        <v>237.3</v>
      </c>
      <c r="H326" s="69">
        <f t="shared" si="151"/>
        <v>0</v>
      </c>
    </row>
    <row r="327" spans="1:8" ht="12.75">
      <c r="A327" s="67" t="s">
        <v>60</v>
      </c>
      <c r="B327" s="67" t="s">
        <v>334</v>
      </c>
      <c r="C327" s="67" t="s">
        <v>444</v>
      </c>
      <c r="D327" s="67" t="s">
        <v>93</v>
      </c>
      <c r="E327" s="68" t="s">
        <v>445</v>
      </c>
      <c r="F327" s="69">
        <f t="shared" si="150"/>
        <v>525.5</v>
      </c>
      <c r="G327" s="69">
        <f t="shared" si="150"/>
        <v>237.3</v>
      </c>
      <c r="H327" s="69">
        <f t="shared" si="151"/>
        <v>0</v>
      </c>
    </row>
    <row r="328" spans="1:8" ht="33">
      <c r="A328" s="67" t="s">
        <v>60</v>
      </c>
      <c r="B328" s="67" t="s">
        <v>334</v>
      </c>
      <c r="C328" s="67" t="s">
        <v>444</v>
      </c>
      <c r="D328" s="67" t="s">
        <v>446</v>
      </c>
      <c r="E328" s="68" t="s">
        <v>447</v>
      </c>
      <c r="F328" s="69">
        <f>700-174.5</f>
        <v>525.5</v>
      </c>
      <c r="G328" s="69">
        <v>237.3</v>
      </c>
      <c r="H328" s="69">
        <v>0</v>
      </c>
    </row>
    <row r="329" spans="1:8" ht="49.5">
      <c r="A329" s="228" t="s">
        <v>58</v>
      </c>
      <c r="B329" s="67" t="s">
        <v>93</v>
      </c>
      <c r="C329" s="231" t="s">
        <v>93</v>
      </c>
      <c r="D329" s="231" t="s">
        <v>93</v>
      </c>
      <c r="E329" s="229" t="s">
        <v>542</v>
      </c>
      <c r="F329" s="230">
        <f>F330+F344+F351+F358</f>
        <v>16576.199999999997</v>
      </c>
      <c r="G329" s="230">
        <f>G330+G344+G351+G358</f>
        <v>16461</v>
      </c>
      <c r="H329" s="230">
        <f>H330+H344+H351+H358</f>
        <v>15390.4</v>
      </c>
    </row>
    <row r="330" spans="1:8" ht="12.75">
      <c r="A330" s="67" t="s">
        <v>58</v>
      </c>
      <c r="B330" s="67" t="s">
        <v>81</v>
      </c>
      <c r="C330" s="67" t="s">
        <v>93</v>
      </c>
      <c r="D330" s="67" t="s">
        <v>93</v>
      </c>
      <c r="E330" s="14" t="s">
        <v>26</v>
      </c>
      <c r="F330" s="69">
        <f>F331</f>
        <v>8739.3</v>
      </c>
      <c r="G330" s="69">
        <f aca="true" t="shared" si="152" ref="G330:H331">G331</f>
        <v>8102.3</v>
      </c>
      <c r="H330" s="69">
        <f t="shared" si="152"/>
        <v>8102.3</v>
      </c>
    </row>
    <row r="331" spans="1:8" ht="12.75">
      <c r="A331" s="67" t="s">
        <v>58</v>
      </c>
      <c r="B331" s="67" t="s">
        <v>87</v>
      </c>
      <c r="C331" s="67" t="s">
        <v>93</v>
      </c>
      <c r="D331" s="67" t="s">
        <v>93</v>
      </c>
      <c r="E331" s="68" t="s">
        <v>46</v>
      </c>
      <c r="F331" s="69">
        <f>F332</f>
        <v>8739.3</v>
      </c>
      <c r="G331" s="69">
        <f t="shared" si="152"/>
        <v>8102.3</v>
      </c>
      <c r="H331" s="69">
        <f t="shared" si="152"/>
        <v>8102.3</v>
      </c>
    </row>
    <row r="332" spans="1:8" ht="66">
      <c r="A332" s="67" t="s">
        <v>58</v>
      </c>
      <c r="B332" s="67" t="s">
        <v>87</v>
      </c>
      <c r="C332" s="67" t="s">
        <v>264</v>
      </c>
      <c r="D332" s="67" t="s">
        <v>93</v>
      </c>
      <c r="E332" s="68" t="s">
        <v>449</v>
      </c>
      <c r="F332" s="69">
        <f>F333+F339</f>
        <v>8739.3</v>
      </c>
      <c r="G332" s="69">
        <f aca="true" t="shared" si="153" ref="G332:H332">G333+G339</f>
        <v>8102.3</v>
      </c>
      <c r="H332" s="69">
        <f t="shared" si="153"/>
        <v>8102.3</v>
      </c>
    </row>
    <row r="333" spans="1:8" ht="49.5">
      <c r="A333" s="67" t="s">
        <v>58</v>
      </c>
      <c r="B333" s="67" t="s">
        <v>87</v>
      </c>
      <c r="C333" s="67" t="s">
        <v>265</v>
      </c>
      <c r="D333" s="67" t="s">
        <v>93</v>
      </c>
      <c r="E333" s="68" t="s">
        <v>147</v>
      </c>
      <c r="F333" s="69">
        <f>F334</f>
        <v>2903.1000000000004</v>
      </c>
      <c r="G333" s="69">
        <f aca="true" t="shared" si="154" ref="G333:H333">G334</f>
        <v>2328.8</v>
      </c>
      <c r="H333" s="69">
        <f t="shared" si="154"/>
        <v>2328.8</v>
      </c>
    </row>
    <row r="334" spans="1:8" ht="66">
      <c r="A334" s="67" t="s">
        <v>58</v>
      </c>
      <c r="B334" s="67" t="s">
        <v>87</v>
      </c>
      <c r="C334" s="67" t="s">
        <v>450</v>
      </c>
      <c r="D334" s="231" t="s">
        <v>93</v>
      </c>
      <c r="E334" s="68" t="s">
        <v>451</v>
      </c>
      <c r="F334" s="69">
        <f>F335+F337</f>
        <v>2903.1000000000004</v>
      </c>
      <c r="G334" s="69">
        <f aca="true" t="shared" si="155" ref="G334:H334">G335+G337</f>
        <v>2328.8</v>
      </c>
      <c r="H334" s="69">
        <f t="shared" si="155"/>
        <v>2328.8</v>
      </c>
    </row>
    <row r="335" spans="1:8" ht="33">
      <c r="A335" s="67" t="s">
        <v>58</v>
      </c>
      <c r="B335" s="67" t="s">
        <v>87</v>
      </c>
      <c r="C335" s="67" t="s">
        <v>267</v>
      </c>
      <c r="D335" s="67" t="s">
        <v>93</v>
      </c>
      <c r="E335" s="68" t="s">
        <v>148</v>
      </c>
      <c r="F335" s="69">
        <f>F336</f>
        <v>2695.1000000000004</v>
      </c>
      <c r="G335" s="69">
        <f aca="true" t="shared" si="156" ref="G335:H335">G336</f>
        <v>2120.8</v>
      </c>
      <c r="H335" s="69">
        <f t="shared" si="156"/>
        <v>2120.8</v>
      </c>
    </row>
    <row r="336" spans="1:8" ht="33">
      <c r="A336" s="67" t="s">
        <v>58</v>
      </c>
      <c r="B336" s="67" t="s">
        <v>87</v>
      </c>
      <c r="C336" s="67" t="s">
        <v>267</v>
      </c>
      <c r="D336" s="67" t="s">
        <v>96</v>
      </c>
      <c r="E336" s="68" t="s">
        <v>342</v>
      </c>
      <c r="F336" s="69">
        <f>2031.3+100+783.8-220</f>
        <v>2695.1000000000004</v>
      </c>
      <c r="G336" s="69">
        <v>2120.8</v>
      </c>
      <c r="H336" s="69">
        <v>2120.8</v>
      </c>
    </row>
    <row r="337" spans="1:8" ht="49.5">
      <c r="A337" s="67" t="s">
        <v>58</v>
      </c>
      <c r="B337" s="67" t="s">
        <v>87</v>
      </c>
      <c r="C337" s="67" t="s">
        <v>268</v>
      </c>
      <c r="D337" s="67" t="s">
        <v>93</v>
      </c>
      <c r="E337" s="68" t="s">
        <v>452</v>
      </c>
      <c r="F337" s="69">
        <f>F338</f>
        <v>208</v>
      </c>
      <c r="G337" s="69">
        <f aca="true" t="shared" si="157" ref="G337:H337">G338</f>
        <v>208</v>
      </c>
      <c r="H337" s="69">
        <f t="shared" si="157"/>
        <v>208</v>
      </c>
    </row>
    <row r="338" spans="1:8" ht="33">
      <c r="A338" s="67" t="s">
        <v>58</v>
      </c>
      <c r="B338" s="67" t="s">
        <v>87</v>
      </c>
      <c r="C338" s="67" t="s">
        <v>268</v>
      </c>
      <c r="D338" s="67" t="s">
        <v>96</v>
      </c>
      <c r="E338" s="68" t="s">
        <v>342</v>
      </c>
      <c r="F338" s="69">
        <v>208</v>
      </c>
      <c r="G338" s="69">
        <v>208</v>
      </c>
      <c r="H338" s="69">
        <v>208</v>
      </c>
    </row>
    <row r="339" spans="1:8" ht="12.75">
      <c r="A339" s="67" t="s">
        <v>58</v>
      </c>
      <c r="B339" s="67" t="s">
        <v>87</v>
      </c>
      <c r="C339" s="67" t="s">
        <v>269</v>
      </c>
      <c r="D339" s="67" t="s">
        <v>93</v>
      </c>
      <c r="E339" s="68" t="s">
        <v>2</v>
      </c>
      <c r="F339" s="69">
        <f>F340</f>
        <v>5836.2</v>
      </c>
      <c r="G339" s="69">
        <f aca="true" t="shared" si="158" ref="G339:H340">G340</f>
        <v>5773.5</v>
      </c>
      <c r="H339" s="69">
        <f t="shared" si="158"/>
        <v>5773.5</v>
      </c>
    </row>
    <row r="340" spans="1:8" ht="12.75">
      <c r="A340" s="67" t="s">
        <v>58</v>
      </c>
      <c r="B340" s="67" t="s">
        <v>87</v>
      </c>
      <c r="C340" s="67" t="s">
        <v>453</v>
      </c>
      <c r="D340" s="231" t="s">
        <v>93</v>
      </c>
      <c r="E340" s="68" t="s">
        <v>428</v>
      </c>
      <c r="F340" s="69">
        <f>F341</f>
        <v>5836.2</v>
      </c>
      <c r="G340" s="69">
        <f t="shared" si="158"/>
        <v>5773.5</v>
      </c>
      <c r="H340" s="69">
        <f t="shared" si="158"/>
        <v>5773.5</v>
      </c>
    </row>
    <row r="341" spans="1:8" ht="82.5">
      <c r="A341" s="67" t="s">
        <v>58</v>
      </c>
      <c r="B341" s="67" t="s">
        <v>87</v>
      </c>
      <c r="C341" s="67" t="s">
        <v>266</v>
      </c>
      <c r="D341" s="67" t="s">
        <v>93</v>
      </c>
      <c r="E341" s="68" t="s">
        <v>343</v>
      </c>
      <c r="F341" s="69">
        <f>F342+F343</f>
        <v>5836.2</v>
      </c>
      <c r="G341" s="69">
        <f aca="true" t="shared" si="159" ref="G341:H341">G342+G343</f>
        <v>5773.5</v>
      </c>
      <c r="H341" s="69">
        <f t="shared" si="159"/>
        <v>5773.5</v>
      </c>
    </row>
    <row r="342" spans="1:8" ht="82.5">
      <c r="A342" s="67" t="s">
        <v>58</v>
      </c>
      <c r="B342" s="67" t="s">
        <v>87</v>
      </c>
      <c r="C342" s="67" t="s">
        <v>266</v>
      </c>
      <c r="D342" s="67" t="s">
        <v>95</v>
      </c>
      <c r="E342" s="68" t="s">
        <v>3</v>
      </c>
      <c r="F342" s="69">
        <f>5298.5+62.7</f>
        <v>5361.2</v>
      </c>
      <c r="G342" s="69">
        <v>5298.5</v>
      </c>
      <c r="H342" s="69">
        <v>5298.5</v>
      </c>
    </row>
    <row r="343" spans="1:8" ht="33">
      <c r="A343" s="67" t="s">
        <v>58</v>
      </c>
      <c r="B343" s="67" t="s">
        <v>87</v>
      </c>
      <c r="C343" s="67" t="s">
        <v>266</v>
      </c>
      <c r="D343" s="67" t="s">
        <v>96</v>
      </c>
      <c r="E343" s="68" t="s">
        <v>342</v>
      </c>
      <c r="F343" s="69">
        <v>475</v>
      </c>
      <c r="G343" s="69">
        <v>475</v>
      </c>
      <c r="H343" s="69">
        <v>475</v>
      </c>
    </row>
    <row r="344" spans="1:8" ht="12.75">
      <c r="A344" s="67" t="s">
        <v>58</v>
      </c>
      <c r="B344" s="67" t="s">
        <v>83</v>
      </c>
      <c r="C344" s="67" t="s">
        <v>93</v>
      </c>
      <c r="D344" s="67" t="s">
        <v>93</v>
      </c>
      <c r="E344" s="68" t="s">
        <v>48</v>
      </c>
      <c r="F344" s="69">
        <f aca="true" t="shared" si="160" ref="F344:F349">F345</f>
        <v>959.3</v>
      </c>
      <c r="G344" s="69">
        <f aca="true" t="shared" si="161" ref="G344:H349">G345</f>
        <v>500</v>
      </c>
      <c r="H344" s="69">
        <f t="shared" si="161"/>
        <v>500</v>
      </c>
    </row>
    <row r="345" spans="1:8" ht="12.75">
      <c r="A345" s="67" t="s">
        <v>58</v>
      </c>
      <c r="B345" s="67" t="s">
        <v>74</v>
      </c>
      <c r="C345" s="67" t="s">
        <v>93</v>
      </c>
      <c r="D345" s="67" t="s">
        <v>93</v>
      </c>
      <c r="E345" s="68" t="s">
        <v>49</v>
      </c>
      <c r="F345" s="69">
        <f t="shared" si="160"/>
        <v>959.3</v>
      </c>
      <c r="G345" s="69">
        <f t="shared" si="161"/>
        <v>500</v>
      </c>
      <c r="H345" s="69">
        <f t="shared" si="161"/>
        <v>500</v>
      </c>
    </row>
    <row r="346" spans="1:8" ht="66">
      <c r="A346" s="67" t="s">
        <v>58</v>
      </c>
      <c r="B346" s="67" t="s">
        <v>74</v>
      </c>
      <c r="C346" s="67" t="s">
        <v>264</v>
      </c>
      <c r="D346" s="67" t="s">
        <v>93</v>
      </c>
      <c r="E346" s="68" t="s">
        <v>449</v>
      </c>
      <c r="F346" s="69">
        <f t="shared" si="160"/>
        <v>959.3</v>
      </c>
      <c r="G346" s="69">
        <f t="shared" si="161"/>
        <v>500</v>
      </c>
      <c r="H346" s="69">
        <f t="shared" si="161"/>
        <v>500</v>
      </c>
    </row>
    <row r="347" spans="1:8" ht="49.5">
      <c r="A347" s="67" t="s">
        <v>58</v>
      </c>
      <c r="B347" s="67" t="s">
        <v>74</v>
      </c>
      <c r="C347" s="67" t="s">
        <v>265</v>
      </c>
      <c r="D347" s="67" t="s">
        <v>93</v>
      </c>
      <c r="E347" s="68" t="s">
        <v>147</v>
      </c>
      <c r="F347" s="69">
        <f t="shared" si="160"/>
        <v>959.3</v>
      </c>
      <c r="G347" s="69">
        <f t="shared" si="161"/>
        <v>500</v>
      </c>
      <c r="H347" s="69">
        <f t="shared" si="161"/>
        <v>500</v>
      </c>
    </row>
    <row r="348" spans="1:8" ht="49.5">
      <c r="A348" s="67" t="s">
        <v>58</v>
      </c>
      <c r="B348" s="67" t="s">
        <v>74</v>
      </c>
      <c r="C348" s="67" t="s">
        <v>454</v>
      </c>
      <c r="D348" s="231" t="s">
        <v>93</v>
      </c>
      <c r="E348" s="68" t="s">
        <v>455</v>
      </c>
      <c r="F348" s="69">
        <f t="shared" si="160"/>
        <v>959.3</v>
      </c>
      <c r="G348" s="69">
        <f t="shared" si="161"/>
        <v>500</v>
      </c>
      <c r="H348" s="69">
        <f t="shared" si="161"/>
        <v>500</v>
      </c>
    </row>
    <row r="349" spans="1:8" ht="33">
      <c r="A349" s="67" t="s">
        <v>58</v>
      </c>
      <c r="B349" s="67" t="s">
        <v>74</v>
      </c>
      <c r="C349" s="67" t="s">
        <v>270</v>
      </c>
      <c r="D349" s="67" t="s">
        <v>93</v>
      </c>
      <c r="E349" s="68" t="s">
        <v>149</v>
      </c>
      <c r="F349" s="69">
        <f t="shared" si="160"/>
        <v>959.3</v>
      </c>
      <c r="G349" s="69">
        <f t="shared" si="161"/>
        <v>500</v>
      </c>
      <c r="H349" s="69">
        <f t="shared" si="161"/>
        <v>500</v>
      </c>
    </row>
    <row r="350" spans="1:8" ht="33">
      <c r="A350" s="67" t="s">
        <v>58</v>
      </c>
      <c r="B350" s="67" t="s">
        <v>74</v>
      </c>
      <c r="C350" s="67" t="s">
        <v>270</v>
      </c>
      <c r="D350" s="67" t="s">
        <v>96</v>
      </c>
      <c r="E350" s="68" t="s">
        <v>342</v>
      </c>
      <c r="F350" s="69">
        <f>1101.3+687.5-829.5</f>
        <v>959.3</v>
      </c>
      <c r="G350" s="69">
        <v>500</v>
      </c>
      <c r="H350" s="69">
        <v>500</v>
      </c>
    </row>
    <row r="351" spans="1:8" ht="12.75">
      <c r="A351" s="67" t="s">
        <v>58</v>
      </c>
      <c r="B351" s="67" t="s">
        <v>84</v>
      </c>
      <c r="C351" s="67" t="s">
        <v>93</v>
      </c>
      <c r="D351" s="67" t="s">
        <v>93</v>
      </c>
      <c r="E351" s="68" t="s">
        <v>50</v>
      </c>
      <c r="F351" s="69">
        <f>F352</f>
        <v>1524.6</v>
      </c>
      <c r="G351" s="69">
        <f aca="true" t="shared" si="162" ref="G351:H351">G352</f>
        <v>1435.1</v>
      </c>
      <c r="H351" s="69">
        <f t="shared" si="162"/>
        <v>1435.1</v>
      </c>
    </row>
    <row r="352" spans="1:8" ht="12.75">
      <c r="A352" s="67" t="s">
        <v>58</v>
      </c>
      <c r="B352" s="67" t="s">
        <v>8</v>
      </c>
      <c r="C352" s="67" t="s">
        <v>93</v>
      </c>
      <c r="D352" s="67" t="s">
        <v>93</v>
      </c>
      <c r="E352" s="68" t="s">
        <v>9</v>
      </c>
      <c r="F352" s="69">
        <f aca="true" t="shared" si="163" ref="F352:F356">F353</f>
        <v>1524.6</v>
      </c>
      <c r="G352" s="69">
        <f aca="true" t="shared" si="164" ref="G352:H356">G353</f>
        <v>1435.1</v>
      </c>
      <c r="H352" s="69">
        <f t="shared" si="164"/>
        <v>1435.1</v>
      </c>
    </row>
    <row r="353" spans="1:8" ht="66">
      <c r="A353" s="67" t="s">
        <v>58</v>
      </c>
      <c r="B353" s="67" t="s">
        <v>8</v>
      </c>
      <c r="C353" s="67" t="s">
        <v>264</v>
      </c>
      <c r="D353" s="67" t="s">
        <v>93</v>
      </c>
      <c r="E353" s="68" t="s">
        <v>449</v>
      </c>
      <c r="F353" s="69">
        <f t="shared" si="163"/>
        <v>1524.6</v>
      </c>
      <c r="G353" s="69">
        <f t="shared" si="164"/>
        <v>1435.1</v>
      </c>
      <c r="H353" s="69">
        <f t="shared" si="164"/>
        <v>1435.1</v>
      </c>
    </row>
    <row r="354" spans="1:8" ht="49.5">
      <c r="A354" s="67" t="s">
        <v>58</v>
      </c>
      <c r="B354" s="67" t="s">
        <v>8</v>
      </c>
      <c r="C354" s="67" t="s">
        <v>265</v>
      </c>
      <c r="D354" s="67" t="s">
        <v>93</v>
      </c>
      <c r="E354" s="68" t="s">
        <v>147</v>
      </c>
      <c r="F354" s="69">
        <f t="shared" si="163"/>
        <v>1524.6</v>
      </c>
      <c r="G354" s="69">
        <f t="shared" si="164"/>
        <v>1435.1</v>
      </c>
      <c r="H354" s="69">
        <f t="shared" si="164"/>
        <v>1435.1</v>
      </c>
    </row>
    <row r="355" spans="1:8" ht="66">
      <c r="A355" s="67" t="s">
        <v>58</v>
      </c>
      <c r="B355" s="67" t="s">
        <v>8</v>
      </c>
      <c r="C355" s="67" t="s">
        <v>450</v>
      </c>
      <c r="D355" s="231" t="s">
        <v>93</v>
      </c>
      <c r="E355" s="68" t="s">
        <v>451</v>
      </c>
      <c r="F355" s="69">
        <f t="shared" si="163"/>
        <v>1524.6</v>
      </c>
      <c r="G355" s="69">
        <f t="shared" si="164"/>
        <v>1435.1</v>
      </c>
      <c r="H355" s="69">
        <f t="shared" si="164"/>
        <v>1435.1</v>
      </c>
    </row>
    <row r="356" spans="1:8" ht="66">
      <c r="A356" s="67" t="s">
        <v>58</v>
      </c>
      <c r="B356" s="67" t="s">
        <v>8</v>
      </c>
      <c r="C356" s="67" t="s">
        <v>271</v>
      </c>
      <c r="D356" s="67" t="s">
        <v>93</v>
      </c>
      <c r="E356" s="68" t="s">
        <v>194</v>
      </c>
      <c r="F356" s="69">
        <f t="shared" si="163"/>
        <v>1524.6</v>
      </c>
      <c r="G356" s="69">
        <f t="shared" si="164"/>
        <v>1435.1</v>
      </c>
      <c r="H356" s="69">
        <f t="shared" si="164"/>
        <v>1435.1</v>
      </c>
    </row>
    <row r="357" spans="1:8" ht="33">
      <c r="A357" s="67" t="s">
        <v>58</v>
      </c>
      <c r="B357" s="67" t="s">
        <v>8</v>
      </c>
      <c r="C357" s="67" t="s">
        <v>271</v>
      </c>
      <c r="D357" s="67" t="s">
        <v>96</v>
      </c>
      <c r="E357" s="68" t="s">
        <v>342</v>
      </c>
      <c r="F357" s="69">
        <v>1524.6</v>
      </c>
      <c r="G357" s="69">
        <v>1435.1</v>
      </c>
      <c r="H357" s="69">
        <v>1435.1</v>
      </c>
    </row>
    <row r="358" spans="1:8" ht="12.75">
      <c r="A358" s="67" t="s">
        <v>58</v>
      </c>
      <c r="B358" s="67" t="s">
        <v>64</v>
      </c>
      <c r="C358" s="67" t="s">
        <v>93</v>
      </c>
      <c r="D358" s="67" t="s">
        <v>93</v>
      </c>
      <c r="E358" s="68" t="s">
        <v>56</v>
      </c>
      <c r="F358" s="69">
        <f aca="true" t="shared" si="165" ref="F358:F363">F359</f>
        <v>5353</v>
      </c>
      <c r="G358" s="69">
        <f aca="true" t="shared" si="166" ref="G358:H359">G359</f>
        <v>6423.599999999999</v>
      </c>
      <c r="H358" s="69">
        <f t="shared" si="166"/>
        <v>5353</v>
      </c>
    </row>
    <row r="359" spans="1:8" ht="12.75">
      <c r="A359" s="67" t="s">
        <v>58</v>
      </c>
      <c r="B359" s="67" t="s">
        <v>126</v>
      </c>
      <c r="C359" s="67" t="s">
        <v>93</v>
      </c>
      <c r="D359" s="67" t="s">
        <v>93</v>
      </c>
      <c r="E359" s="68" t="s">
        <v>127</v>
      </c>
      <c r="F359" s="69">
        <f t="shared" si="165"/>
        <v>5353</v>
      </c>
      <c r="G359" s="69">
        <f t="shared" si="166"/>
        <v>6423.599999999999</v>
      </c>
      <c r="H359" s="69">
        <f t="shared" si="166"/>
        <v>5353</v>
      </c>
    </row>
    <row r="360" spans="1:8" ht="66">
      <c r="A360" s="67" t="s">
        <v>58</v>
      </c>
      <c r="B360" s="67" t="s">
        <v>126</v>
      </c>
      <c r="C360" s="67" t="s">
        <v>236</v>
      </c>
      <c r="D360" s="67" t="s">
        <v>93</v>
      </c>
      <c r="E360" s="68" t="s">
        <v>456</v>
      </c>
      <c r="F360" s="69">
        <f t="shared" si="165"/>
        <v>5353</v>
      </c>
      <c r="G360" s="69">
        <f aca="true" t="shared" si="167" ref="G360:H360">G361</f>
        <v>6423.599999999999</v>
      </c>
      <c r="H360" s="69">
        <f t="shared" si="167"/>
        <v>5353</v>
      </c>
    </row>
    <row r="361" spans="1:8" ht="66">
      <c r="A361" s="67" t="s">
        <v>58</v>
      </c>
      <c r="B361" s="67" t="s">
        <v>126</v>
      </c>
      <c r="C361" s="67" t="s">
        <v>272</v>
      </c>
      <c r="D361" s="67" t="s">
        <v>93</v>
      </c>
      <c r="E361" s="68" t="s">
        <v>457</v>
      </c>
      <c r="F361" s="69">
        <f t="shared" si="165"/>
        <v>5353</v>
      </c>
      <c r="G361" s="69">
        <f aca="true" t="shared" si="168" ref="G361:H363">G362</f>
        <v>6423.599999999999</v>
      </c>
      <c r="H361" s="69">
        <f t="shared" si="168"/>
        <v>5353</v>
      </c>
    </row>
    <row r="362" spans="1:8" ht="82.5">
      <c r="A362" s="67" t="s">
        <v>58</v>
      </c>
      <c r="B362" s="67" t="s">
        <v>126</v>
      </c>
      <c r="C362" s="67" t="s">
        <v>458</v>
      </c>
      <c r="D362" s="231" t="s">
        <v>93</v>
      </c>
      <c r="E362" s="68" t="s">
        <v>459</v>
      </c>
      <c r="F362" s="69">
        <f t="shared" si="165"/>
        <v>5353</v>
      </c>
      <c r="G362" s="69">
        <f t="shared" si="168"/>
        <v>6423.599999999999</v>
      </c>
      <c r="H362" s="69">
        <f t="shared" si="168"/>
        <v>5353</v>
      </c>
    </row>
    <row r="363" spans="1:8" ht="82.5">
      <c r="A363" s="67" t="s">
        <v>58</v>
      </c>
      <c r="B363" s="67" t="s">
        <v>126</v>
      </c>
      <c r="C363" s="67" t="s">
        <v>316</v>
      </c>
      <c r="D363" s="67" t="s">
        <v>93</v>
      </c>
      <c r="E363" s="68" t="s">
        <v>614</v>
      </c>
      <c r="F363" s="69">
        <f t="shared" si="165"/>
        <v>5353</v>
      </c>
      <c r="G363" s="69">
        <f t="shared" si="168"/>
        <v>6423.599999999999</v>
      </c>
      <c r="H363" s="69">
        <f t="shared" si="168"/>
        <v>5353</v>
      </c>
    </row>
    <row r="364" spans="1:8" ht="49.5">
      <c r="A364" s="67" t="s">
        <v>58</v>
      </c>
      <c r="B364" s="67" t="s">
        <v>126</v>
      </c>
      <c r="C364" s="67" t="s">
        <v>316</v>
      </c>
      <c r="D364" s="67" t="s">
        <v>99</v>
      </c>
      <c r="E364" s="68" t="s">
        <v>390</v>
      </c>
      <c r="F364" s="69">
        <f>4282.4+1070.6</f>
        <v>5353</v>
      </c>
      <c r="G364" s="69">
        <f>4282.4+2141.2</f>
        <v>6423.599999999999</v>
      </c>
      <c r="H364" s="69">
        <f>4282.4+1070.6</f>
        <v>5353</v>
      </c>
    </row>
    <row r="365" spans="1:8" ht="12.75">
      <c r="A365" s="228" t="s">
        <v>19</v>
      </c>
      <c r="B365" s="67" t="s">
        <v>93</v>
      </c>
      <c r="C365" s="231" t="s">
        <v>93</v>
      </c>
      <c r="D365" s="231" t="s">
        <v>93</v>
      </c>
      <c r="E365" s="229" t="s">
        <v>4</v>
      </c>
      <c r="F365" s="230">
        <f>F366</f>
        <v>4059.6</v>
      </c>
      <c r="G365" s="230">
        <f aca="true" t="shared" si="169" ref="G365:H366">G366</f>
        <v>4105.3</v>
      </c>
      <c r="H365" s="230">
        <f t="shared" si="169"/>
        <v>4105.3</v>
      </c>
    </row>
    <row r="366" spans="1:8" ht="12.75">
      <c r="A366" s="67" t="s">
        <v>19</v>
      </c>
      <c r="B366" s="67" t="s">
        <v>81</v>
      </c>
      <c r="C366" s="67" t="s">
        <v>93</v>
      </c>
      <c r="D366" s="67" t="s">
        <v>93</v>
      </c>
      <c r="E366" s="14" t="s">
        <v>26</v>
      </c>
      <c r="F366" s="69">
        <f>F367</f>
        <v>4059.6</v>
      </c>
      <c r="G366" s="69">
        <f t="shared" si="169"/>
        <v>4105.3</v>
      </c>
      <c r="H366" s="69">
        <f t="shared" si="169"/>
        <v>4105.3</v>
      </c>
    </row>
    <row r="367" spans="1:8" ht="66">
      <c r="A367" s="67" t="s">
        <v>19</v>
      </c>
      <c r="B367" s="67" t="s">
        <v>69</v>
      </c>
      <c r="C367" s="67" t="s">
        <v>93</v>
      </c>
      <c r="D367" s="67" t="s">
        <v>93</v>
      </c>
      <c r="E367" s="68" t="s">
        <v>44</v>
      </c>
      <c r="F367" s="69">
        <f>F368</f>
        <v>4059.6</v>
      </c>
      <c r="G367" s="69">
        <f aca="true" t="shared" si="170" ref="G367:H368">G368</f>
        <v>4105.3</v>
      </c>
      <c r="H367" s="69">
        <f t="shared" si="170"/>
        <v>4105.3</v>
      </c>
    </row>
    <row r="368" spans="1:8" ht="33">
      <c r="A368" s="67" t="s">
        <v>19</v>
      </c>
      <c r="B368" s="67" t="s">
        <v>69</v>
      </c>
      <c r="C368" s="67" t="s">
        <v>312</v>
      </c>
      <c r="D368" s="67" t="s">
        <v>93</v>
      </c>
      <c r="E368" s="68" t="s">
        <v>429</v>
      </c>
      <c r="F368" s="69">
        <f>F369</f>
        <v>4059.6</v>
      </c>
      <c r="G368" s="69">
        <f t="shared" si="170"/>
        <v>4105.3</v>
      </c>
      <c r="H368" s="69">
        <f t="shared" si="170"/>
        <v>4105.3</v>
      </c>
    </row>
    <row r="369" spans="1:8" ht="49.5">
      <c r="A369" s="67" t="s">
        <v>19</v>
      </c>
      <c r="B369" s="67" t="s">
        <v>69</v>
      </c>
      <c r="C369" s="67" t="s">
        <v>460</v>
      </c>
      <c r="D369" s="67" t="s">
        <v>93</v>
      </c>
      <c r="E369" s="68" t="s">
        <v>5</v>
      </c>
      <c r="F369" s="69">
        <f>F370+F372+F376</f>
        <v>4059.6</v>
      </c>
      <c r="G369" s="69">
        <f aca="true" t="shared" si="171" ref="G369:H369">G370+G372+G376</f>
        <v>4105.3</v>
      </c>
      <c r="H369" s="69">
        <f t="shared" si="171"/>
        <v>4105.3</v>
      </c>
    </row>
    <row r="370" spans="1:8" ht="12.75">
      <c r="A370" s="67" t="s">
        <v>19</v>
      </c>
      <c r="B370" s="67" t="s">
        <v>69</v>
      </c>
      <c r="C370" s="67" t="s">
        <v>273</v>
      </c>
      <c r="D370" s="67" t="s">
        <v>93</v>
      </c>
      <c r="E370" s="68" t="s">
        <v>461</v>
      </c>
      <c r="F370" s="69">
        <f>F371</f>
        <v>1292.5</v>
      </c>
      <c r="G370" s="69">
        <f aca="true" t="shared" si="172" ref="G370:H370">G371</f>
        <v>1208.6</v>
      </c>
      <c r="H370" s="69">
        <f t="shared" si="172"/>
        <v>1208.6</v>
      </c>
    </row>
    <row r="371" spans="1:8" ht="82.5">
      <c r="A371" s="67" t="s">
        <v>19</v>
      </c>
      <c r="B371" s="67" t="s">
        <v>69</v>
      </c>
      <c r="C371" s="67" t="s">
        <v>273</v>
      </c>
      <c r="D371" s="67" t="s">
        <v>95</v>
      </c>
      <c r="E371" s="68" t="s">
        <v>3</v>
      </c>
      <c r="F371" s="69">
        <f>1208.6+83.9</f>
        <v>1292.5</v>
      </c>
      <c r="G371" s="69">
        <v>1208.6</v>
      </c>
      <c r="H371" s="69">
        <v>1208.6</v>
      </c>
    </row>
    <row r="372" spans="1:8" ht="49.5">
      <c r="A372" s="67" t="s">
        <v>19</v>
      </c>
      <c r="B372" s="67" t="s">
        <v>69</v>
      </c>
      <c r="C372" s="67" t="s">
        <v>274</v>
      </c>
      <c r="D372" s="67" t="s">
        <v>93</v>
      </c>
      <c r="E372" s="68" t="s">
        <v>462</v>
      </c>
      <c r="F372" s="69">
        <f>F373+F374+F375</f>
        <v>2767.1</v>
      </c>
      <c r="G372" s="69">
        <f aca="true" t="shared" si="173" ref="G372:H372">G373+G374+G375</f>
        <v>2438.1</v>
      </c>
      <c r="H372" s="69">
        <f t="shared" si="173"/>
        <v>2438.1</v>
      </c>
    </row>
    <row r="373" spans="1:8" ht="82.5">
      <c r="A373" s="67" t="s">
        <v>19</v>
      </c>
      <c r="B373" s="67" t="s">
        <v>69</v>
      </c>
      <c r="C373" s="67" t="s">
        <v>274</v>
      </c>
      <c r="D373" s="67" t="s">
        <v>95</v>
      </c>
      <c r="E373" s="68" t="s">
        <v>3</v>
      </c>
      <c r="F373" s="69">
        <f>2004.4+101.4+86.2</f>
        <v>2192</v>
      </c>
      <c r="G373" s="69">
        <v>2004.4</v>
      </c>
      <c r="H373" s="69">
        <v>2004.4</v>
      </c>
    </row>
    <row r="374" spans="1:8" ht="33">
      <c r="A374" s="67" t="s">
        <v>19</v>
      </c>
      <c r="B374" s="67" t="s">
        <v>69</v>
      </c>
      <c r="C374" s="67" t="s">
        <v>274</v>
      </c>
      <c r="D374" s="67" t="s">
        <v>96</v>
      </c>
      <c r="E374" s="68" t="s">
        <v>342</v>
      </c>
      <c r="F374" s="69">
        <f>433.7-1.6+141.4</f>
        <v>573.5</v>
      </c>
      <c r="G374" s="69">
        <v>433.7</v>
      </c>
      <c r="H374" s="69">
        <v>433.7</v>
      </c>
    </row>
    <row r="375" spans="1:8" ht="12.75">
      <c r="A375" s="67" t="s">
        <v>19</v>
      </c>
      <c r="B375" s="67" t="s">
        <v>69</v>
      </c>
      <c r="C375" s="67" t="s">
        <v>274</v>
      </c>
      <c r="D375" s="67" t="s">
        <v>97</v>
      </c>
      <c r="E375" s="68" t="s">
        <v>98</v>
      </c>
      <c r="F375" s="69">
        <v>1.6</v>
      </c>
      <c r="G375" s="69">
        <v>0</v>
      </c>
      <c r="H375" s="69">
        <v>0</v>
      </c>
    </row>
    <row r="376" spans="1:8" ht="12.75">
      <c r="A376" s="67" t="s">
        <v>19</v>
      </c>
      <c r="B376" s="67" t="s">
        <v>69</v>
      </c>
      <c r="C376" s="67" t="s">
        <v>275</v>
      </c>
      <c r="D376" s="67" t="s">
        <v>93</v>
      </c>
      <c r="E376" s="68" t="s">
        <v>463</v>
      </c>
      <c r="F376" s="69">
        <f>F377</f>
        <v>0</v>
      </c>
      <c r="G376" s="69">
        <f aca="true" t="shared" si="174" ref="G376:H376">G377</f>
        <v>458.6</v>
      </c>
      <c r="H376" s="69">
        <f t="shared" si="174"/>
        <v>458.6</v>
      </c>
    </row>
    <row r="377" spans="1:8" ht="82.5">
      <c r="A377" s="67" t="s">
        <v>19</v>
      </c>
      <c r="B377" s="67" t="s">
        <v>69</v>
      </c>
      <c r="C377" s="67" t="s">
        <v>275</v>
      </c>
      <c r="D377" s="67" t="s">
        <v>95</v>
      </c>
      <c r="E377" s="68" t="s">
        <v>3</v>
      </c>
      <c r="F377" s="69">
        <f>458.6-242.8-215.8</f>
        <v>0</v>
      </c>
      <c r="G377" s="69">
        <v>458.6</v>
      </c>
      <c r="H377" s="69">
        <v>458.6</v>
      </c>
    </row>
    <row r="378" spans="1:8" ht="49.5">
      <c r="A378" s="228" t="s">
        <v>7</v>
      </c>
      <c r="B378" s="67" t="s">
        <v>93</v>
      </c>
      <c r="C378" s="231" t="s">
        <v>93</v>
      </c>
      <c r="D378" s="231" t="s">
        <v>93</v>
      </c>
      <c r="E378" s="229" t="s">
        <v>11</v>
      </c>
      <c r="F378" s="230">
        <f>F386+F434+F443+F379</f>
        <v>40934.7</v>
      </c>
      <c r="G378" s="230">
        <f>G386+G434+G443+G379</f>
        <v>33721.9</v>
      </c>
      <c r="H378" s="230">
        <f>H386+H434+H443+H379</f>
        <v>33323.1</v>
      </c>
    </row>
    <row r="379" spans="1:8" ht="12.75">
      <c r="A379" s="67" t="s">
        <v>7</v>
      </c>
      <c r="B379" s="67" t="s">
        <v>83</v>
      </c>
      <c r="C379" s="67" t="s">
        <v>93</v>
      </c>
      <c r="D379" s="67" t="s">
        <v>93</v>
      </c>
      <c r="E379" s="5" t="s">
        <v>48</v>
      </c>
      <c r="F379" s="69">
        <f aca="true" t="shared" si="175" ref="F379:F384">F380</f>
        <v>256.6</v>
      </c>
      <c r="G379" s="69">
        <f aca="true" t="shared" si="176" ref="G379:H383">G380</f>
        <v>176.4</v>
      </c>
      <c r="H379" s="69">
        <f t="shared" si="176"/>
        <v>182.4</v>
      </c>
    </row>
    <row r="380" spans="1:8" ht="22.9" customHeight="1">
      <c r="A380" s="67" t="s">
        <v>7</v>
      </c>
      <c r="B380" s="232" t="s">
        <v>551</v>
      </c>
      <c r="C380" s="231"/>
      <c r="D380" s="231"/>
      <c r="E380" s="68" t="s">
        <v>552</v>
      </c>
      <c r="F380" s="69">
        <f t="shared" si="175"/>
        <v>256.6</v>
      </c>
      <c r="G380" s="69">
        <f t="shared" si="176"/>
        <v>176.4</v>
      </c>
      <c r="H380" s="69">
        <f t="shared" si="176"/>
        <v>182.4</v>
      </c>
    </row>
    <row r="381" spans="1:8" ht="49.5">
      <c r="A381" s="67" t="s">
        <v>7</v>
      </c>
      <c r="B381" s="232" t="s">
        <v>551</v>
      </c>
      <c r="C381" s="67" t="s">
        <v>280</v>
      </c>
      <c r="D381" s="67" t="s">
        <v>93</v>
      </c>
      <c r="E381" s="68" t="s">
        <v>399</v>
      </c>
      <c r="F381" s="69">
        <f t="shared" si="175"/>
        <v>256.6</v>
      </c>
      <c r="G381" s="69">
        <f t="shared" si="176"/>
        <v>176.4</v>
      </c>
      <c r="H381" s="69">
        <f t="shared" si="176"/>
        <v>182.4</v>
      </c>
    </row>
    <row r="382" spans="1:8" ht="66">
      <c r="A382" s="67" t="s">
        <v>7</v>
      </c>
      <c r="B382" s="232" t="s">
        <v>551</v>
      </c>
      <c r="C382" s="67" t="s">
        <v>282</v>
      </c>
      <c r="D382" s="67" t="s">
        <v>93</v>
      </c>
      <c r="E382" s="68" t="s">
        <v>469</v>
      </c>
      <c r="F382" s="69">
        <f t="shared" si="175"/>
        <v>256.6</v>
      </c>
      <c r="G382" s="69">
        <f t="shared" si="176"/>
        <v>176.4</v>
      </c>
      <c r="H382" s="69">
        <f t="shared" si="176"/>
        <v>182.4</v>
      </c>
    </row>
    <row r="383" spans="1:8" ht="49.5">
      <c r="A383" s="67" t="s">
        <v>7</v>
      </c>
      <c r="B383" s="232" t="s">
        <v>551</v>
      </c>
      <c r="C383" s="67" t="s">
        <v>470</v>
      </c>
      <c r="D383" s="231" t="s">
        <v>93</v>
      </c>
      <c r="E383" s="68" t="s">
        <v>471</v>
      </c>
      <c r="F383" s="69">
        <f t="shared" si="175"/>
        <v>256.6</v>
      </c>
      <c r="G383" s="69">
        <f t="shared" si="176"/>
        <v>176.4</v>
      </c>
      <c r="H383" s="69">
        <f t="shared" si="176"/>
        <v>182.4</v>
      </c>
    </row>
    <row r="384" spans="1:8" ht="49.5">
      <c r="A384" s="67" t="s">
        <v>7</v>
      </c>
      <c r="B384" s="232" t="s">
        <v>551</v>
      </c>
      <c r="C384" s="67" t="s">
        <v>286</v>
      </c>
      <c r="D384" s="67" t="s">
        <v>93</v>
      </c>
      <c r="E384" s="68" t="s">
        <v>472</v>
      </c>
      <c r="F384" s="69">
        <f t="shared" si="175"/>
        <v>256.6</v>
      </c>
      <c r="G384" s="69">
        <f aca="true" t="shared" si="177" ref="G384:H384">G385</f>
        <v>176.4</v>
      </c>
      <c r="H384" s="69">
        <f t="shared" si="177"/>
        <v>182.4</v>
      </c>
    </row>
    <row r="385" spans="1:8" ht="33">
      <c r="A385" s="67" t="s">
        <v>7</v>
      </c>
      <c r="B385" s="232" t="s">
        <v>551</v>
      </c>
      <c r="C385" s="67" t="s">
        <v>286</v>
      </c>
      <c r="D385" s="67" t="s">
        <v>413</v>
      </c>
      <c r="E385" s="68" t="s">
        <v>414</v>
      </c>
      <c r="F385" s="69">
        <v>256.6</v>
      </c>
      <c r="G385" s="69">
        <v>176.4</v>
      </c>
      <c r="H385" s="69">
        <v>182.4</v>
      </c>
    </row>
    <row r="386" spans="1:8" ht="12.75">
      <c r="A386" s="67" t="s">
        <v>7</v>
      </c>
      <c r="B386" s="67" t="s">
        <v>62</v>
      </c>
      <c r="C386" s="67" t="s">
        <v>93</v>
      </c>
      <c r="D386" s="67" t="s">
        <v>93</v>
      </c>
      <c r="E386" s="68" t="s">
        <v>53</v>
      </c>
      <c r="F386" s="69">
        <f>F387+F409</f>
        <v>20339.4</v>
      </c>
      <c r="G386" s="69">
        <f>G387+G409</f>
        <v>18217.6</v>
      </c>
      <c r="H386" s="69">
        <f>H387+H409</f>
        <v>17728.7</v>
      </c>
    </row>
    <row r="387" spans="1:8" ht="12.75">
      <c r="A387" s="67" t="s">
        <v>7</v>
      </c>
      <c r="B387" s="67" t="s">
        <v>330</v>
      </c>
      <c r="C387" s="67" t="s">
        <v>93</v>
      </c>
      <c r="D387" s="67" t="s">
        <v>93</v>
      </c>
      <c r="E387" s="68" t="s">
        <v>331</v>
      </c>
      <c r="F387" s="69">
        <f>F388+F405</f>
        <v>14741.8</v>
      </c>
      <c r="G387" s="69">
        <f aca="true" t="shared" si="178" ref="G387:H387">G388+G405</f>
        <v>13053.5</v>
      </c>
      <c r="H387" s="69">
        <f t="shared" si="178"/>
        <v>12557.5</v>
      </c>
    </row>
    <row r="388" spans="1:8" ht="66">
      <c r="A388" s="67" t="s">
        <v>7</v>
      </c>
      <c r="B388" s="67" t="s">
        <v>330</v>
      </c>
      <c r="C388" s="67" t="s">
        <v>276</v>
      </c>
      <c r="D388" s="67" t="s">
        <v>93</v>
      </c>
      <c r="E388" s="68" t="s">
        <v>464</v>
      </c>
      <c r="F388" s="69">
        <f>F389</f>
        <v>14691.8</v>
      </c>
      <c r="G388" s="69">
        <f aca="true" t="shared" si="179" ref="G388:H389">G389</f>
        <v>13053.5</v>
      </c>
      <c r="H388" s="69">
        <f t="shared" si="179"/>
        <v>12557.5</v>
      </c>
    </row>
    <row r="389" spans="1:8" ht="33">
      <c r="A389" s="67" t="s">
        <v>7</v>
      </c>
      <c r="B389" s="67" t="s">
        <v>330</v>
      </c>
      <c r="C389" s="67" t="s">
        <v>277</v>
      </c>
      <c r="D389" s="67" t="s">
        <v>93</v>
      </c>
      <c r="E389" s="68" t="s">
        <v>139</v>
      </c>
      <c r="F389" s="69">
        <f>F390</f>
        <v>14691.8</v>
      </c>
      <c r="G389" s="69">
        <f t="shared" si="179"/>
        <v>13053.5</v>
      </c>
      <c r="H389" s="69">
        <f t="shared" si="179"/>
        <v>12557.5</v>
      </c>
    </row>
    <row r="390" spans="1:8" ht="66">
      <c r="A390" s="67" t="s">
        <v>7</v>
      </c>
      <c r="B390" s="67" t="s">
        <v>330</v>
      </c>
      <c r="C390" s="67" t="s">
        <v>465</v>
      </c>
      <c r="D390" s="231" t="s">
        <v>93</v>
      </c>
      <c r="E390" s="68" t="s">
        <v>466</v>
      </c>
      <c r="F390" s="69">
        <f>F395+F397+F399+F401+F391+F393+F403</f>
        <v>14691.8</v>
      </c>
      <c r="G390" s="69">
        <f aca="true" t="shared" si="180" ref="G390:H390">G395+G397+G399+G401+G391+G393+G403</f>
        <v>13053.5</v>
      </c>
      <c r="H390" s="69">
        <f t="shared" si="180"/>
        <v>12557.5</v>
      </c>
    </row>
    <row r="391" spans="1:8" ht="82.5">
      <c r="A391" s="67" t="s">
        <v>7</v>
      </c>
      <c r="B391" s="67" t="s">
        <v>330</v>
      </c>
      <c r="C391" s="67" t="s">
        <v>619</v>
      </c>
      <c r="D391" s="67" t="s">
        <v>93</v>
      </c>
      <c r="E391" s="68" t="s">
        <v>620</v>
      </c>
      <c r="F391" s="69">
        <f>F392</f>
        <v>300</v>
      </c>
      <c r="G391" s="69">
        <f aca="true" t="shared" si="181" ref="G391:H391">G392</f>
        <v>0</v>
      </c>
      <c r="H391" s="69">
        <f t="shared" si="181"/>
        <v>0</v>
      </c>
    </row>
    <row r="392" spans="1:8" ht="33">
      <c r="A392" s="67" t="s">
        <v>7</v>
      </c>
      <c r="B392" s="67" t="s">
        <v>330</v>
      </c>
      <c r="C392" s="67" t="s">
        <v>619</v>
      </c>
      <c r="D392" s="67" t="s">
        <v>413</v>
      </c>
      <c r="E392" s="68" t="s">
        <v>414</v>
      </c>
      <c r="F392" s="69">
        <v>300</v>
      </c>
      <c r="G392" s="69">
        <v>0</v>
      </c>
      <c r="H392" s="69">
        <v>0</v>
      </c>
    </row>
    <row r="393" spans="1:8" ht="66">
      <c r="A393" s="67" t="s">
        <v>7</v>
      </c>
      <c r="B393" s="67" t="s">
        <v>330</v>
      </c>
      <c r="C393" s="67" t="s">
        <v>633</v>
      </c>
      <c r="D393" s="67" t="s">
        <v>93</v>
      </c>
      <c r="E393" s="68" t="s">
        <v>639</v>
      </c>
      <c r="F393" s="69">
        <f>F394</f>
        <v>1174</v>
      </c>
      <c r="G393" s="69">
        <f aca="true" t="shared" si="182" ref="G393:H393">G394</f>
        <v>0</v>
      </c>
      <c r="H393" s="69">
        <f t="shared" si="182"/>
        <v>0</v>
      </c>
    </row>
    <row r="394" spans="1:8" ht="33">
      <c r="A394" s="67" t="s">
        <v>7</v>
      </c>
      <c r="B394" s="67" t="s">
        <v>330</v>
      </c>
      <c r="C394" s="67" t="s">
        <v>633</v>
      </c>
      <c r="D394" s="67" t="s">
        <v>413</v>
      </c>
      <c r="E394" s="68" t="s">
        <v>414</v>
      </c>
      <c r="F394" s="69">
        <f>1078.2+95.8</f>
        <v>1174</v>
      </c>
      <c r="G394" s="69">
        <v>0</v>
      </c>
      <c r="H394" s="69">
        <v>0</v>
      </c>
    </row>
    <row r="395" spans="1:8" ht="66">
      <c r="A395" s="6" t="s">
        <v>7</v>
      </c>
      <c r="B395" s="6" t="s">
        <v>330</v>
      </c>
      <c r="C395" s="6" t="s">
        <v>278</v>
      </c>
      <c r="D395" s="180"/>
      <c r="E395" s="5" t="s">
        <v>140</v>
      </c>
      <c r="F395" s="69">
        <f>F396</f>
        <v>12457</v>
      </c>
      <c r="G395" s="69">
        <f aca="true" t="shared" si="183" ref="G395:H395">G396</f>
        <v>12517.9</v>
      </c>
      <c r="H395" s="69">
        <f t="shared" si="183"/>
        <v>12517.9</v>
      </c>
    </row>
    <row r="396" spans="1:8" ht="33">
      <c r="A396" s="6" t="s">
        <v>7</v>
      </c>
      <c r="B396" s="6" t="s">
        <v>330</v>
      </c>
      <c r="C396" s="6" t="s">
        <v>278</v>
      </c>
      <c r="D396" s="180">
        <v>600</v>
      </c>
      <c r="E396" s="5" t="s">
        <v>117</v>
      </c>
      <c r="F396" s="69">
        <f>12517.9-107.8+46.9</f>
        <v>12457</v>
      </c>
      <c r="G396" s="69">
        <v>12517.9</v>
      </c>
      <c r="H396" s="69">
        <v>12517.9</v>
      </c>
    </row>
    <row r="397" spans="1:8" ht="49.5">
      <c r="A397" s="67" t="s">
        <v>7</v>
      </c>
      <c r="B397" s="67" t="s">
        <v>330</v>
      </c>
      <c r="C397" s="67" t="s">
        <v>279</v>
      </c>
      <c r="D397" s="67" t="s">
        <v>93</v>
      </c>
      <c r="E397" s="68" t="s">
        <v>198</v>
      </c>
      <c r="F397" s="69">
        <f>F398</f>
        <v>440.7</v>
      </c>
      <c r="G397" s="69">
        <f aca="true" t="shared" si="184" ref="G397:H397">G398</f>
        <v>391.6</v>
      </c>
      <c r="H397" s="69">
        <f t="shared" si="184"/>
        <v>0</v>
      </c>
    </row>
    <row r="398" spans="1:8" ht="33">
      <c r="A398" s="67" t="s">
        <v>7</v>
      </c>
      <c r="B398" s="67" t="s">
        <v>330</v>
      </c>
      <c r="C398" s="67" t="s">
        <v>279</v>
      </c>
      <c r="D398" s="67" t="s">
        <v>413</v>
      </c>
      <c r="E398" s="68" t="s">
        <v>414</v>
      </c>
      <c r="F398" s="69">
        <f>743.9-30-280.3+7.1</f>
        <v>440.7</v>
      </c>
      <c r="G398" s="69">
        <v>391.6</v>
      </c>
      <c r="H398" s="69">
        <v>0</v>
      </c>
    </row>
    <row r="399" spans="1:8" ht="49.5">
      <c r="A399" s="67" t="s">
        <v>7</v>
      </c>
      <c r="B399" s="67" t="s">
        <v>330</v>
      </c>
      <c r="C399" s="67" t="s">
        <v>467</v>
      </c>
      <c r="D399" s="67" t="s">
        <v>93</v>
      </c>
      <c r="E399" s="68" t="s">
        <v>468</v>
      </c>
      <c r="F399" s="69">
        <f>F400</f>
        <v>178.9</v>
      </c>
      <c r="G399" s="69">
        <f aca="true" t="shared" si="185" ref="G399:H399">G400</f>
        <v>144</v>
      </c>
      <c r="H399" s="69">
        <f t="shared" si="185"/>
        <v>39.6</v>
      </c>
    </row>
    <row r="400" spans="1:8" ht="33">
      <c r="A400" s="67" t="s">
        <v>7</v>
      </c>
      <c r="B400" s="67" t="s">
        <v>330</v>
      </c>
      <c r="C400" s="67" t="s">
        <v>467</v>
      </c>
      <c r="D400" s="67" t="s">
        <v>413</v>
      </c>
      <c r="E400" s="68" t="s">
        <v>414</v>
      </c>
      <c r="F400" s="69">
        <f>144-7.1+42</f>
        <v>178.9</v>
      </c>
      <c r="G400" s="69">
        <v>144</v>
      </c>
      <c r="H400" s="69">
        <v>39.6</v>
      </c>
    </row>
    <row r="401" spans="1:8" ht="82.5">
      <c r="A401" s="67" t="s">
        <v>7</v>
      </c>
      <c r="B401" s="67" t="s">
        <v>330</v>
      </c>
      <c r="C401" s="67" t="s">
        <v>516</v>
      </c>
      <c r="D401" s="67" t="s">
        <v>93</v>
      </c>
      <c r="E401" s="68" t="s">
        <v>515</v>
      </c>
      <c r="F401" s="69">
        <f>E402:F402</f>
        <v>33.4</v>
      </c>
      <c r="G401" s="69">
        <f aca="true" t="shared" si="186" ref="G401:H401">F402:G402</f>
        <v>0</v>
      </c>
      <c r="H401" s="69">
        <f t="shared" si="186"/>
        <v>0</v>
      </c>
    </row>
    <row r="402" spans="1:8" ht="33">
      <c r="A402" s="67" t="s">
        <v>7</v>
      </c>
      <c r="B402" s="67" t="s">
        <v>330</v>
      </c>
      <c r="C402" s="67" t="s">
        <v>516</v>
      </c>
      <c r="D402" s="67" t="s">
        <v>413</v>
      </c>
      <c r="E402" s="68" t="s">
        <v>414</v>
      </c>
      <c r="F402" s="69">
        <f>30+3.4</f>
        <v>33.4</v>
      </c>
      <c r="G402" s="69">
        <v>0</v>
      </c>
      <c r="H402" s="69">
        <v>0</v>
      </c>
    </row>
    <row r="403" spans="1:8" ht="66">
      <c r="A403" s="67" t="s">
        <v>7</v>
      </c>
      <c r="B403" s="67" t="s">
        <v>330</v>
      </c>
      <c r="C403" s="67" t="s">
        <v>684</v>
      </c>
      <c r="D403" s="67" t="s">
        <v>93</v>
      </c>
      <c r="E403" s="5" t="s">
        <v>649</v>
      </c>
      <c r="F403" s="69">
        <f>F404</f>
        <v>107.8</v>
      </c>
      <c r="G403" s="69">
        <f aca="true" t="shared" si="187" ref="G403:H403">G404</f>
        <v>0</v>
      </c>
      <c r="H403" s="69">
        <f t="shared" si="187"/>
        <v>0</v>
      </c>
    </row>
    <row r="404" spans="1:8" ht="33">
      <c r="A404" s="67" t="s">
        <v>7</v>
      </c>
      <c r="B404" s="67" t="s">
        <v>330</v>
      </c>
      <c r="C404" s="67" t="s">
        <v>684</v>
      </c>
      <c r="D404" s="67" t="s">
        <v>413</v>
      </c>
      <c r="E404" s="68" t="s">
        <v>414</v>
      </c>
      <c r="F404" s="69">
        <v>107.8</v>
      </c>
      <c r="G404" s="69">
        <v>0</v>
      </c>
      <c r="H404" s="69">
        <v>0</v>
      </c>
    </row>
    <row r="405" spans="1:8" ht="33">
      <c r="A405" s="67" t="s">
        <v>7</v>
      </c>
      <c r="B405" s="67" t="s">
        <v>330</v>
      </c>
      <c r="C405" s="31">
        <v>9900000000</v>
      </c>
      <c r="D405" s="89"/>
      <c r="E405" s="32" t="s">
        <v>506</v>
      </c>
      <c r="F405" s="69">
        <f>F406</f>
        <v>50</v>
      </c>
      <c r="G405" s="69">
        <f aca="true" t="shared" si="188" ref="G405:H407">G406</f>
        <v>0</v>
      </c>
      <c r="H405" s="69">
        <f t="shared" si="188"/>
        <v>0</v>
      </c>
    </row>
    <row r="406" spans="1:8" ht="49.5">
      <c r="A406" s="67" t="s">
        <v>7</v>
      </c>
      <c r="B406" s="67" t="s">
        <v>330</v>
      </c>
      <c r="C406" s="31">
        <v>9950000000</v>
      </c>
      <c r="D406" s="87"/>
      <c r="E406" s="5" t="s">
        <v>625</v>
      </c>
      <c r="F406" s="69">
        <f>F407</f>
        <v>50</v>
      </c>
      <c r="G406" s="69">
        <f t="shared" si="188"/>
        <v>0</v>
      </c>
      <c r="H406" s="69">
        <f t="shared" si="188"/>
        <v>0</v>
      </c>
    </row>
    <row r="407" spans="1:8" ht="49.5">
      <c r="A407" s="67" t="s">
        <v>7</v>
      </c>
      <c r="B407" s="67" t="s">
        <v>330</v>
      </c>
      <c r="C407" s="31" t="s">
        <v>626</v>
      </c>
      <c r="D407" s="87"/>
      <c r="E407" s="5" t="s">
        <v>627</v>
      </c>
      <c r="F407" s="69">
        <f>F408</f>
        <v>50</v>
      </c>
      <c r="G407" s="69">
        <f t="shared" si="188"/>
        <v>0</v>
      </c>
      <c r="H407" s="69">
        <f t="shared" si="188"/>
        <v>0</v>
      </c>
    </row>
    <row r="408" spans="1:8" ht="33">
      <c r="A408" s="67" t="s">
        <v>7</v>
      </c>
      <c r="B408" s="67" t="s">
        <v>330</v>
      </c>
      <c r="C408" s="31" t="s">
        <v>626</v>
      </c>
      <c r="D408" s="180">
        <v>600</v>
      </c>
      <c r="E408" s="5" t="s">
        <v>117</v>
      </c>
      <c r="F408" s="69">
        <v>50</v>
      </c>
      <c r="G408" s="69">
        <v>0</v>
      </c>
      <c r="H408" s="69">
        <v>0</v>
      </c>
    </row>
    <row r="409" spans="1:8" ht="12.75">
      <c r="A409" s="67" t="s">
        <v>7</v>
      </c>
      <c r="B409" s="67" t="s">
        <v>63</v>
      </c>
      <c r="C409" s="67" t="s">
        <v>93</v>
      </c>
      <c r="D409" s="67" t="s">
        <v>93</v>
      </c>
      <c r="E409" s="68" t="s">
        <v>505</v>
      </c>
      <c r="F409" s="69">
        <f>F410</f>
        <v>5597.6</v>
      </c>
      <c r="G409" s="69">
        <f aca="true" t="shared" si="189" ref="G409:H409">G410</f>
        <v>5164.1</v>
      </c>
      <c r="H409" s="69">
        <f t="shared" si="189"/>
        <v>5171.2</v>
      </c>
    </row>
    <row r="410" spans="1:8" ht="49.5">
      <c r="A410" s="67" t="s">
        <v>7</v>
      </c>
      <c r="B410" s="67" t="s">
        <v>63</v>
      </c>
      <c r="C410" s="67" t="s">
        <v>280</v>
      </c>
      <c r="D410" s="67" t="s">
        <v>93</v>
      </c>
      <c r="E410" s="68" t="s">
        <v>399</v>
      </c>
      <c r="F410" s="69">
        <f>F415+F411</f>
        <v>5597.6</v>
      </c>
      <c r="G410" s="69">
        <f>G415+G411</f>
        <v>5164.1</v>
      </c>
      <c r="H410" s="69">
        <f>H415+H411</f>
        <v>5171.2</v>
      </c>
    </row>
    <row r="411" spans="1:8" ht="49.5">
      <c r="A411" s="6" t="s">
        <v>7</v>
      </c>
      <c r="B411" s="6" t="s">
        <v>63</v>
      </c>
      <c r="C411" s="6" t="s">
        <v>281</v>
      </c>
      <c r="D411" s="180"/>
      <c r="E411" s="5" t="s">
        <v>114</v>
      </c>
      <c r="F411" s="69">
        <f>F412</f>
        <v>236.1</v>
      </c>
      <c r="G411" s="69">
        <f aca="true" t="shared" si="190" ref="G411:H413">G412</f>
        <v>0</v>
      </c>
      <c r="H411" s="69">
        <f t="shared" si="190"/>
        <v>0</v>
      </c>
    </row>
    <row r="412" spans="1:8" ht="49.5">
      <c r="A412" s="6" t="s">
        <v>7</v>
      </c>
      <c r="B412" s="6" t="s">
        <v>63</v>
      </c>
      <c r="C412" s="6" t="s">
        <v>489</v>
      </c>
      <c r="D412" s="180"/>
      <c r="E412" s="5" t="s">
        <v>490</v>
      </c>
      <c r="F412" s="69">
        <f>F413</f>
        <v>236.1</v>
      </c>
      <c r="G412" s="69">
        <f t="shared" si="190"/>
        <v>0</v>
      </c>
      <c r="H412" s="69">
        <f t="shared" si="190"/>
        <v>0</v>
      </c>
    </row>
    <row r="413" spans="1:8" ht="33">
      <c r="A413" s="6" t="s">
        <v>7</v>
      </c>
      <c r="B413" s="6" t="s">
        <v>63</v>
      </c>
      <c r="C413" s="6" t="s">
        <v>582</v>
      </c>
      <c r="D413" s="180"/>
      <c r="E413" s="5" t="s">
        <v>585</v>
      </c>
      <c r="F413" s="69">
        <f>F414</f>
        <v>236.1</v>
      </c>
      <c r="G413" s="69">
        <f t="shared" si="190"/>
        <v>0</v>
      </c>
      <c r="H413" s="69">
        <f t="shared" si="190"/>
        <v>0</v>
      </c>
    </row>
    <row r="414" spans="1:8" ht="33">
      <c r="A414" s="6" t="s">
        <v>7</v>
      </c>
      <c r="B414" s="6" t="s">
        <v>63</v>
      </c>
      <c r="C414" s="6" t="s">
        <v>582</v>
      </c>
      <c r="D414" s="180">
        <v>600</v>
      </c>
      <c r="E414" s="21" t="s">
        <v>117</v>
      </c>
      <c r="F414" s="69">
        <v>236.1</v>
      </c>
      <c r="G414" s="69">
        <v>0</v>
      </c>
      <c r="H414" s="69">
        <v>0</v>
      </c>
    </row>
    <row r="415" spans="1:8" ht="66">
      <c r="A415" s="67" t="s">
        <v>7</v>
      </c>
      <c r="B415" s="67" t="s">
        <v>63</v>
      </c>
      <c r="C415" s="67" t="s">
        <v>282</v>
      </c>
      <c r="D415" s="67" t="s">
        <v>93</v>
      </c>
      <c r="E415" s="68" t="s">
        <v>469</v>
      </c>
      <c r="F415" s="69">
        <f>F416+F431</f>
        <v>5361.5</v>
      </c>
      <c r="G415" s="69">
        <f>G416+G431</f>
        <v>5164.1</v>
      </c>
      <c r="H415" s="69">
        <f>H416+H431</f>
        <v>5171.2</v>
      </c>
    </row>
    <row r="416" spans="1:8" ht="49.5">
      <c r="A416" s="67" t="s">
        <v>7</v>
      </c>
      <c r="B416" s="67" t="s">
        <v>63</v>
      </c>
      <c r="C416" s="67" t="s">
        <v>470</v>
      </c>
      <c r="D416" s="231" t="s">
        <v>93</v>
      </c>
      <c r="E416" s="68" t="s">
        <v>471</v>
      </c>
      <c r="F416" s="69">
        <f>F417+F419+F421+F423+F427+F429+F425</f>
        <v>5296.3</v>
      </c>
      <c r="G416" s="69">
        <f aca="true" t="shared" si="191" ref="G416:H416">G417+G419+G421+G423+G427+G429+G425</f>
        <v>5096.6</v>
      </c>
      <c r="H416" s="69">
        <f t="shared" si="191"/>
        <v>5101.4</v>
      </c>
    </row>
    <row r="417" spans="1:8" ht="33">
      <c r="A417" s="6" t="s">
        <v>7</v>
      </c>
      <c r="B417" s="6" t="s">
        <v>63</v>
      </c>
      <c r="C417" s="4" t="s">
        <v>285</v>
      </c>
      <c r="D417" s="4"/>
      <c r="E417" s="21" t="s">
        <v>136</v>
      </c>
      <c r="F417" s="69">
        <f>F418</f>
        <v>4962.5</v>
      </c>
      <c r="G417" s="69">
        <f aca="true" t="shared" si="192" ref="G417:H417">G418</f>
        <v>4953.1</v>
      </c>
      <c r="H417" s="69">
        <f t="shared" si="192"/>
        <v>4953.1</v>
      </c>
    </row>
    <row r="418" spans="1:8" ht="33">
      <c r="A418" s="6" t="s">
        <v>7</v>
      </c>
      <c r="B418" s="6" t="s">
        <v>63</v>
      </c>
      <c r="C418" s="4" t="s">
        <v>285</v>
      </c>
      <c r="D418" s="180">
        <v>600</v>
      </c>
      <c r="E418" s="5" t="s">
        <v>117</v>
      </c>
      <c r="F418" s="69">
        <f>4953.1+9.4</f>
        <v>4962.5</v>
      </c>
      <c r="G418" s="69">
        <v>4953.1</v>
      </c>
      <c r="H418" s="69">
        <v>4953.1</v>
      </c>
    </row>
    <row r="419" spans="1:8" ht="33">
      <c r="A419" s="67" t="s">
        <v>7</v>
      </c>
      <c r="B419" s="67" t="s">
        <v>63</v>
      </c>
      <c r="C419" s="67" t="s">
        <v>283</v>
      </c>
      <c r="D419" s="67" t="s">
        <v>93</v>
      </c>
      <c r="E419" s="68" t="s">
        <v>134</v>
      </c>
      <c r="F419" s="69">
        <f>F420</f>
        <v>19</v>
      </c>
      <c r="G419" s="69">
        <f aca="true" t="shared" si="193" ref="G419:H419">G420</f>
        <v>21.9</v>
      </c>
      <c r="H419" s="69">
        <f t="shared" si="193"/>
        <v>23.9</v>
      </c>
    </row>
    <row r="420" spans="1:8" ht="12.75">
      <c r="A420" s="67" t="s">
        <v>7</v>
      </c>
      <c r="B420" s="67" t="s">
        <v>63</v>
      </c>
      <c r="C420" s="67" t="s">
        <v>283</v>
      </c>
      <c r="D420" s="67" t="s">
        <v>100</v>
      </c>
      <c r="E420" s="68" t="s">
        <v>101</v>
      </c>
      <c r="F420" s="69">
        <f>19.9-0.9</f>
        <v>19</v>
      </c>
      <c r="G420" s="69">
        <v>21.9</v>
      </c>
      <c r="H420" s="69">
        <v>23.9</v>
      </c>
    </row>
    <row r="421" spans="1:8" ht="33">
      <c r="A421" s="67" t="s">
        <v>7</v>
      </c>
      <c r="B421" s="67" t="s">
        <v>63</v>
      </c>
      <c r="C421" s="67" t="s">
        <v>284</v>
      </c>
      <c r="D421" s="67" t="s">
        <v>93</v>
      </c>
      <c r="E421" s="68" t="s">
        <v>135</v>
      </c>
      <c r="F421" s="69">
        <f>F422</f>
        <v>13.5</v>
      </c>
      <c r="G421" s="69">
        <f aca="true" t="shared" si="194" ref="G421:H421">G422</f>
        <v>14</v>
      </c>
      <c r="H421" s="69">
        <f t="shared" si="194"/>
        <v>14.5</v>
      </c>
    </row>
    <row r="422" spans="1:8" ht="33">
      <c r="A422" s="67" t="s">
        <v>7</v>
      </c>
      <c r="B422" s="67" t="s">
        <v>63</v>
      </c>
      <c r="C422" s="67" t="s">
        <v>284</v>
      </c>
      <c r="D422" s="67" t="s">
        <v>96</v>
      </c>
      <c r="E422" s="68" t="s">
        <v>342</v>
      </c>
      <c r="F422" s="69">
        <v>13.5</v>
      </c>
      <c r="G422" s="69">
        <v>14</v>
      </c>
      <c r="H422" s="69">
        <v>14.5</v>
      </c>
    </row>
    <row r="423" spans="1:8" ht="33">
      <c r="A423" s="67" t="s">
        <v>7</v>
      </c>
      <c r="B423" s="67" t="s">
        <v>63</v>
      </c>
      <c r="C423" s="67" t="s">
        <v>287</v>
      </c>
      <c r="D423" s="67" t="s">
        <v>93</v>
      </c>
      <c r="E423" s="68" t="s">
        <v>137</v>
      </c>
      <c r="F423" s="69">
        <f>F424</f>
        <v>47.6</v>
      </c>
      <c r="G423" s="69">
        <f aca="true" t="shared" si="195" ref="G423:H423">G424</f>
        <v>49.3</v>
      </c>
      <c r="H423" s="69">
        <f t="shared" si="195"/>
        <v>51</v>
      </c>
    </row>
    <row r="424" spans="1:8" ht="33">
      <c r="A424" s="67" t="s">
        <v>7</v>
      </c>
      <c r="B424" s="67" t="s">
        <v>63</v>
      </c>
      <c r="C424" s="67" t="s">
        <v>287</v>
      </c>
      <c r="D424" s="67" t="s">
        <v>413</v>
      </c>
      <c r="E424" s="68" t="s">
        <v>414</v>
      </c>
      <c r="F424" s="69">
        <v>47.6</v>
      </c>
      <c r="G424" s="69">
        <v>49.3</v>
      </c>
      <c r="H424" s="69">
        <v>51</v>
      </c>
    </row>
    <row r="425" spans="1:8" ht="33">
      <c r="A425" s="6" t="s">
        <v>7</v>
      </c>
      <c r="B425" s="6" t="s">
        <v>63</v>
      </c>
      <c r="C425" s="4" t="s">
        <v>679</v>
      </c>
      <c r="D425" s="4"/>
      <c r="E425" s="21" t="s">
        <v>680</v>
      </c>
      <c r="F425" s="69">
        <f>F426</f>
        <v>196</v>
      </c>
      <c r="G425" s="69">
        <f aca="true" t="shared" si="196" ref="G425:H425">G426</f>
        <v>0</v>
      </c>
      <c r="H425" s="69">
        <f t="shared" si="196"/>
        <v>0</v>
      </c>
    </row>
    <row r="426" spans="1:8" ht="33">
      <c r="A426" s="6" t="s">
        <v>7</v>
      </c>
      <c r="B426" s="6" t="s">
        <v>63</v>
      </c>
      <c r="C426" s="4" t="s">
        <v>679</v>
      </c>
      <c r="D426" s="180">
        <v>600</v>
      </c>
      <c r="E426" s="5" t="s">
        <v>117</v>
      </c>
      <c r="F426" s="69">
        <v>196</v>
      </c>
      <c r="G426" s="69">
        <v>0</v>
      </c>
      <c r="H426" s="69">
        <v>0</v>
      </c>
    </row>
    <row r="427" spans="1:8" ht="33">
      <c r="A427" s="67" t="s">
        <v>7</v>
      </c>
      <c r="B427" s="67" t="s">
        <v>63</v>
      </c>
      <c r="C427" s="67" t="s">
        <v>313</v>
      </c>
      <c r="D427" s="67" t="s">
        <v>93</v>
      </c>
      <c r="E427" s="68" t="s">
        <v>199</v>
      </c>
      <c r="F427" s="69">
        <f>F428</f>
        <v>21.7</v>
      </c>
      <c r="G427" s="69">
        <f aca="true" t="shared" si="197" ref="G427:H427">G428</f>
        <v>22.3</v>
      </c>
      <c r="H427" s="69">
        <f t="shared" si="197"/>
        <v>22.9</v>
      </c>
    </row>
    <row r="428" spans="1:8" ht="33">
      <c r="A428" s="67" t="s">
        <v>7</v>
      </c>
      <c r="B428" s="67" t="s">
        <v>63</v>
      </c>
      <c r="C428" s="67" t="s">
        <v>313</v>
      </c>
      <c r="D428" s="67" t="s">
        <v>96</v>
      </c>
      <c r="E428" s="68" t="s">
        <v>342</v>
      </c>
      <c r="F428" s="69">
        <f>21.7</f>
        <v>21.7</v>
      </c>
      <c r="G428" s="69">
        <v>22.3</v>
      </c>
      <c r="H428" s="69">
        <v>22.9</v>
      </c>
    </row>
    <row r="429" spans="1:8" ht="33">
      <c r="A429" s="67" t="s">
        <v>7</v>
      </c>
      <c r="B429" s="67" t="s">
        <v>63</v>
      </c>
      <c r="C429" s="67" t="s">
        <v>473</v>
      </c>
      <c r="D429" s="67" t="s">
        <v>93</v>
      </c>
      <c r="E429" s="68" t="s">
        <v>474</v>
      </c>
      <c r="F429" s="69">
        <f>F430</f>
        <v>36</v>
      </c>
      <c r="G429" s="69">
        <f aca="true" t="shared" si="198" ref="G429:H429">G430</f>
        <v>36</v>
      </c>
      <c r="H429" s="69">
        <f t="shared" si="198"/>
        <v>36</v>
      </c>
    </row>
    <row r="430" spans="1:8" ht="12.75">
      <c r="A430" s="67" t="s">
        <v>7</v>
      </c>
      <c r="B430" s="67" t="s">
        <v>63</v>
      </c>
      <c r="C430" s="67" t="s">
        <v>473</v>
      </c>
      <c r="D430" s="67" t="s">
        <v>100</v>
      </c>
      <c r="E430" s="68" t="s">
        <v>101</v>
      </c>
      <c r="F430" s="69">
        <v>36</v>
      </c>
      <c r="G430" s="69">
        <v>36</v>
      </c>
      <c r="H430" s="69">
        <v>36</v>
      </c>
    </row>
    <row r="431" spans="1:8" ht="33">
      <c r="A431" s="67" t="s">
        <v>7</v>
      </c>
      <c r="B431" s="67" t="s">
        <v>63</v>
      </c>
      <c r="C431" s="67" t="s">
        <v>475</v>
      </c>
      <c r="D431" s="231" t="s">
        <v>93</v>
      </c>
      <c r="E431" s="68" t="s">
        <v>476</v>
      </c>
      <c r="F431" s="69">
        <f>F432</f>
        <v>65.2</v>
      </c>
      <c r="G431" s="69">
        <f aca="true" t="shared" si="199" ref="G431:H431">G432</f>
        <v>67.5</v>
      </c>
      <c r="H431" s="69">
        <f t="shared" si="199"/>
        <v>69.8</v>
      </c>
    </row>
    <row r="432" spans="1:8" ht="66">
      <c r="A432" s="67" t="s">
        <v>7</v>
      </c>
      <c r="B432" s="67" t="s">
        <v>63</v>
      </c>
      <c r="C432" s="67" t="s">
        <v>477</v>
      </c>
      <c r="D432" s="67" t="s">
        <v>93</v>
      </c>
      <c r="E432" s="68" t="s">
        <v>138</v>
      </c>
      <c r="F432" s="69">
        <f>F433</f>
        <v>65.2</v>
      </c>
      <c r="G432" s="69">
        <f aca="true" t="shared" si="200" ref="G432:H432">G433</f>
        <v>67.5</v>
      </c>
      <c r="H432" s="69">
        <f t="shared" si="200"/>
        <v>69.8</v>
      </c>
    </row>
    <row r="433" spans="1:8" ht="33">
      <c r="A433" s="67" t="s">
        <v>7</v>
      </c>
      <c r="B433" s="67" t="s">
        <v>63</v>
      </c>
      <c r="C433" s="67" t="s">
        <v>477</v>
      </c>
      <c r="D433" s="67" t="s">
        <v>413</v>
      </c>
      <c r="E433" s="68" t="s">
        <v>414</v>
      </c>
      <c r="F433" s="69">
        <v>65.2</v>
      </c>
      <c r="G433" s="69">
        <v>67.5</v>
      </c>
      <c r="H433" s="69">
        <v>69.8</v>
      </c>
    </row>
    <row r="434" spans="1:8" ht="12.75">
      <c r="A434" s="67" t="s">
        <v>7</v>
      </c>
      <c r="B434" s="67" t="s">
        <v>64</v>
      </c>
      <c r="C434" s="67" t="s">
        <v>93</v>
      </c>
      <c r="D434" s="67" t="s">
        <v>93</v>
      </c>
      <c r="E434" s="68" t="s">
        <v>56</v>
      </c>
      <c r="F434" s="69">
        <f aca="true" t="shared" si="201" ref="F434:F439">F435</f>
        <v>3546.8</v>
      </c>
      <c r="G434" s="69">
        <f aca="true" t="shared" si="202" ref="G434:H439">G435</f>
        <v>1870.8</v>
      </c>
      <c r="H434" s="69">
        <f t="shared" si="202"/>
        <v>1908.3</v>
      </c>
    </row>
    <row r="435" spans="1:8" ht="12.75">
      <c r="A435" s="67" t="s">
        <v>7</v>
      </c>
      <c r="B435" s="67" t="s">
        <v>65</v>
      </c>
      <c r="C435" s="67" t="s">
        <v>93</v>
      </c>
      <c r="D435" s="67" t="s">
        <v>93</v>
      </c>
      <c r="E435" s="68" t="s">
        <v>59</v>
      </c>
      <c r="F435" s="69">
        <f t="shared" si="201"/>
        <v>3546.8</v>
      </c>
      <c r="G435" s="69">
        <f t="shared" si="202"/>
        <v>1870.8</v>
      </c>
      <c r="H435" s="69">
        <f t="shared" si="202"/>
        <v>1908.3</v>
      </c>
    </row>
    <row r="436" spans="1:8" ht="66">
      <c r="A436" s="67" t="s">
        <v>7</v>
      </c>
      <c r="B436" s="67" t="s">
        <v>65</v>
      </c>
      <c r="C436" s="67" t="s">
        <v>236</v>
      </c>
      <c r="D436" s="67" t="s">
        <v>93</v>
      </c>
      <c r="E436" s="68" t="s">
        <v>456</v>
      </c>
      <c r="F436" s="69">
        <f t="shared" si="201"/>
        <v>3546.8</v>
      </c>
      <c r="G436" s="69">
        <f t="shared" si="202"/>
        <v>1870.8</v>
      </c>
      <c r="H436" s="69">
        <f t="shared" si="202"/>
        <v>1908.3</v>
      </c>
    </row>
    <row r="437" spans="1:8" ht="33">
      <c r="A437" s="67" t="s">
        <v>7</v>
      </c>
      <c r="B437" s="67" t="s">
        <v>65</v>
      </c>
      <c r="C437" s="67" t="s">
        <v>288</v>
      </c>
      <c r="D437" s="67" t="s">
        <v>93</v>
      </c>
      <c r="E437" s="68" t="s">
        <v>169</v>
      </c>
      <c r="F437" s="69">
        <f t="shared" si="201"/>
        <v>3546.8</v>
      </c>
      <c r="G437" s="69">
        <f t="shared" si="202"/>
        <v>1870.8</v>
      </c>
      <c r="H437" s="69">
        <f t="shared" si="202"/>
        <v>1908.3</v>
      </c>
    </row>
    <row r="438" spans="1:8" ht="33">
      <c r="A438" s="67" t="s">
        <v>7</v>
      </c>
      <c r="B438" s="67" t="s">
        <v>65</v>
      </c>
      <c r="C438" s="67" t="s">
        <v>478</v>
      </c>
      <c r="D438" s="231" t="s">
        <v>93</v>
      </c>
      <c r="E438" s="68" t="s">
        <v>479</v>
      </c>
      <c r="F438" s="69">
        <f>F439+F441</f>
        <v>3546.8</v>
      </c>
      <c r="G438" s="69">
        <f aca="true" t="shared" si="203" ref="G438:H438">G439+G441</f>
        <v>1870.8</v>
      </c>
      <c r="H438" s="69">
        <f t="shared" si="203"/>
        <v>1908.3</v>
      </c>
    </row>
    <row r="439" spans="1:8" ht="33">
      <c r="A439" s="67" t="s">
        <v>7</v>
      </c>
      <c r="B439" s="67" t="s">
        <v>65</v>
      </c>
      <c r="C439" s="67" t="s">
        <v>480</v>
      </c>
      <c r="D439" s="67" t="s">
        <v>93</v>
      </c>
      <c r="E439" s="68" t="s">
        <v>170</v>
      </c>
      <c r="F439" s="69">
        <f t="shared" si="201"/>
        <v>1762.7</v>
      </c>
      <c r="G439" s="69">
        <f t="shared" si="202"/>
        <v>1870.8</v>
      </c>
      <c r="H439" s="69">
        <f t="shared" si="202"/>
        <v>1908.3</v>
      </c>
    </row>
    <row r="440" spans="1:8" ht="12.75">
      <c r="A440" s="67" t="s">
        <v>7</v>
      </c>
      <c r="B440" s="67" t="s">
        <v>65</v>
      </c>
      <c r="C440" s="67" t="s">
        <v>480</v>
      </c>
      <c r="D440" s="67" t="s">
        <v>100</v>
      </c>
      <c r="E440" s="68" t="s">
        <v>101</v>
      </c>
      <c r="F440" s="69">
        <f>1834.2-71.5</f>
        <v>1762.7</v>
      </c>
      <c r="G440" s="69">
        <v>1870.8</v>
      </c>
      <c r="H440" s="69">
        <v>1908.3</v>
      </c>
    </row>
    <row r="441" spans="1:8" ht="49.5">
      <c r="A441" s="67" t="s">
        <v>7</v>
      </c>
      <c r="B441" s="67" t="s">
        <v>65</v>
      </c>
      <c r="C441" s="67" t="s">
        <v>589</v>
      </c>
      <c r="D441" s="67" t="s">
        <v>93</v>
      </c>
      <c r="E441" s="68" t="s">
        <v>590</v>
      </c>
      <c r="F441" s="69">
        <f>F442</f>
        <v>1784.1</v>
      </c>
      <c r="G441" s="69">
        <f aca="true" t="shared" si="204" ref="G441:H441">G442</f>
        <v>0</v>
      </c>
      <c r="H441" s="69">
        <f t="shared" si="204"/>
        <v>0</v>
      </c>
    </row>
    <row r="442" spans="1:8" ht="12.75">
      <c r="A442" s="67" t="s">
        <v>7</v>
      </c>
      <c r="B442" s="67" t="s">
        <v>65</v>
      </c>
      <c r="C442" s="67" t="s">
        <v>589</v>
      </c>
      <c r="D442" s="67" t="s">
        <v>100</v>
      </c>
      <c r="E442" s="68" t="s">
        <v>101</v>
      </c>
      <c r="F442" s="69">
        <v>1784.1</v>
      </c>
      <c r="G442" s="69">
        <v>0</v>
      </c>
      <c r="H442" s="69">
        <v>0</v>
      </c>
    </row>
    <row r="443" spans="1:8" ht="12.75">
      <c r="A443" s="67" t="s">
        <v>7</v>
      </c>
      <c r="B443" s="67" t="s">
        <v>88</v>
      </c>
      <c r="C443" s="67" t="s">
        <v>93</v>
      </c>
      <c r="D443" s="67" t="s">
        <v>93</v>
      </c>
      <c r="E443" s="68" t="s">
        <v>55</v>
      </c>
      <c r="F443" s="69">
        <f>F444+F461</f>
        <v>16791.899999999998</v>
      </c>
      <c r="G443" s="69">
        <f>G444+G461</f>
        <v>13457.1</v>
      </c>
      <c r="H443" s="69">
        <f>H444+H461</f>
        <v>13503.7</v>
      </c>
    </row>
    <row r="444" spans="1:8" ht="12.75">
      <c r="A444" s="67" t="s">
        <v>7</v>
      </c>
      <c r="B444" s="67" t="s">
        <v>141</v>
      </c>
      <c r="C444" s="67" t="s">
        <v>93</v>
      </c>
      <c r="D444" s="67" t="s">
        <v>93</v>
      </c>
      <c r="E444" s="68" t="s">
        <v>89</v>
      </c>
      <c r="F444" s="69">
        <f>F445</f>
        <v>14381.699999999999</v>
      </c>
      <c r="G444" s="69">
        <f aca="true" t="shared" si="205" ref="G444:H445">G445</f>
        <v>11167.6</v>
      </c>
      <c r="H444" s="69">
        <f t="shared" si="205"/>
        <v>11214.2</v>
      </c>
    </row>
    <row r="445" spans="1:8" ht="66">
      <c r="A445" s="67" t="s">
        <v>7</v>
      </c>
      <c r="B445" s="67" t="s">
        <v>141</v>
      </c>
      <c r="C445" s="67" t="s">
        <v>276</v>
      </c>
      <c r="D445" s="67" t="s">
        <v>93</v>
      </c>
      <c r="E445" s="68" t="s">
        <v>464</v>
      </c>
      <c r="F445" s="69">
        <f>F446</f>
        <v>14381.699999999999</v>
      </c>
      <c r="G445" s="69">
        <f t="shared" si="205"/>
        <v>11167.6</v>
      </c>
      <c r="H445" s="69">
        <f t="shared" si="205"/>
        <v>11214.2</v>
      </c>
    </row>
    <row r="446" spans="1:8" ht="33">
      <c r="A446" s="67" t="s">
        <v>7</v>
      </c>
      <c r="B446" s="67" t="s">
        <v>141</v>
      </c>
      <c r="C446" s="67" t="s">
        <v>277</v>
      </c>
      <c r="D446" s="67" t="s">
        <v>93</v>
      </c>
      <c r="E446" s="68" t="s">
        <v>139</v>
      </c>
      <c r="F446" s="69">
        <f>F447+F456</f>
        <v>14381.699999999999</v>
      </c>
      <c r="G446" s="69">
        <f aca="true" t="shared" si="206" ref="G446:H446">G447+G456</f>
        <v>11167.6</v>
      </c>
      <c r="H446" s="69">
        <f t="shared" si="206"/>
        <v>11214.2</v>
      </c>
    </row>
    <row r="447" spans="1:8" ht="66">
      <c r="A447" s="67" t="s">
        <v>7</v>
      </c>
      <c r="B447" s="67" t="s">
        <v>141</v>
      </c>
      <c r="C447" s="67" t="s">
        <v>481</v>
      </c>
      <c r="D447" s="231" t="s">
        <v>93</v>
      </c>
      <c r="E447" s="68" t="s">
        <v>482</v>
      </c>
      <c r="F447" s="69">
        <f>F448+F450+F454</f>
        <v>11147.199999999999</v>
      </c>
      <c r="G447" s="69">
        <f aca="true" t="shared" si="207" ref="G447:H447">G448+G450+G454</f>
        <v>11167.6</v>
      </c>
      <c r="H447" s="69">
        <f t="shared" si="207"/>
        <v>11214.2</v>
      </c>
    </row>
    <row r="448" spans="1:8" ht="49.5">
      <c r="A448" s="6" t="s">
        <v>7</v>
      </c>
      <c r="B448" s="6" t="s">
        <v>141</v>
      </c>
      <c r="C448" s="6" t="s">
        <v>290</v>
      </c>
      <c r="D448" s="180"/>
      <c r="E448" s="5" t="s">
        <v>143</v>
      </c>
      <c r="F448" s="69">
        <f>F449</f>
        <v>9824.9</v>
      </c>
      <c r="G448" s="69">
        <f aca="true" t="shared" si="208" ref="G448:H448">G449</f>
        <v>9799.1</v>
      </c>
      <c r="H448" s="69">
        <f t="shared" si="208"/>
        <v>9799.1</v>
      </c>
    </row>
    <row r="449" spans="1:8" ht="33">
      <c r="A449" s="6" t="s">
        <v>7</v>
      </c>
      <c r="B449" s="6" t="s">
        <v>141</v>
      </c>
      <c r="C449" s="6" t="s">
        <v>290</v>
      </c>
      <c r="D449" s="180">
        <v>600</v>
      </c>
      <c r="E449" s="5" t="s">
        <v>117</v>
      </c>
      <c r="F449" s="69">
        <f>9799.1+25.8</f>
        <v>9824.9</v>
      </c>
      <c r="G449" s="69">
        <v>9799.1</v>
      </c>
      <c r="H449" s="69">
        <v>9799.1</v>
      </c>
    </row>
    <row r="450" spans="1:8" ht="33">
      <c r="A450" s="67" t="s">
        <v>7</v>
      </c>
      <c r="B450" s="67" t="s">
        <v>141</v>
      </c>
      <c r="C450" s="67" t="s">
        <v>289</v>
      </c>
      <c r="D450" s="67" t="s">
        <v>93</v>
      </c>
      <c r="E450" s="68" t="s">
        <v>142</v>
      </c>
      <c r="F450" s="69">
        <f>F451+F452+F453</f>
        <v>1070.4</v>
      </c>
      <c r="G450" s="69">
        <f aca="true" t="shared" si="209" ref="G450:H450">G451+G452+G453</f>
        <v>1116.6</v>
      </c>
      <c r="H450" s="69">
        <f t="shared" si="209"/>
        <v>1163.2</v>
      </c>
    </row>
    <row r="451" spans="1:8" ht="82.5">
      <c r="A451" s="67" t="s">
        <v>7</v>
      </c>
      <c r="B451" s="67" t="s">
        <v>141</v>
      </c>
      <c r="C451" s="67" t="s">
        <v>289</v>
      </c>
      <c r="D451" s="67" t="s">
        <v>95</v>
      </c>
      <c r="E451" s="68" t="s">
        <v>3</v>
      </c>
      <c r="F451" s="69">
        <f>544.5-10</f>
        <v>534.5</v>
      </c>
      <c r="G451" s="69">
        <v>544.5</v>
      </c>
      <c r="H451" s="69">
        <v>562.1</v>
      </c>
    </row>
    <row r="452" spans="1:8" ht="33">
      <c r="A452" s="67" t="s">
        <v>7</v>
      </c>
      <c r="B452" s="67" t="s">
        <v>141</v>
      </c>
      <c r="C452" s="67" t="s">
        <v>289</v>
      </c>
      <c r="D452" s="67" t="s">
        <v>96</v>
      </c>
      <c r="E452" s="68" t="s">
        <v>342</v>
      </c>
      <c r="F452" s="69">
        <f>455.1-15.7</f>
        <v>439.40000000000003</v>
      </c>
      <c r="G452" s="69">
        <v>501.3</v>
      </c>
      <c r="H452" s="69">
        <v>530.3</v>
      </c>
    </row>
    <row r="453" spans="1:8" ht="12.75">
      <c r="A453" s="67" t="s">
        <v>7</v>
      </c>
      <c r="B453" s="67" t="s">
        <v>141</v>
      </c>
      <c r="C453" s="67" t="s">
        <v>289</v>
      </c>
      <c r="D453" s="67" t="s">
        <v>97</v>
      </c>
      <c r="E453" s="68" t="s">
        <v>98</v>
      </c>
      <c r="F453" s="69">
        <f>70.8+15.7+10</f>
        <v>96.5</v>
      </c>
      <c r="G453" s="69">
        <v>70.8</v>
      </c>
      <c r="H453" s="69">
        <v>70.8</v>
      </c>
    </row>
    <row r="454" spans="1:8" ht="66">
      <c r="A454" s="67" t="s">
        <v>7</v>
      </c>
      <c r="B454" s="67" t="s">
        <v>141</v>
      </c>
      <c r="C454" s="67" t="s">
        <v>291</v>
      </c>
      <c r="D454" s="67" t="s">
        <v>93</v>
      </c>
      <c r="E454" s="68" t="s">
        <v>144</v>
      </c>
      <c r="F454" s="69">
        <f>F455</f>
        <v>251.9</v>
      </c>
      <c r="G454" s="69">
        <f aca="true" t="shared" si="210" ref="G454:H454">G455</f>
        <v>251.9</v>
      </c>
      <c r="H454" s="69">
        <f t="shared" si="210"/>
        <v>251.9</v>
      </c>
    </row>
    <row r="455" spans="1:8" ht="33">
      <c r="A455" s="67" t="s">
        <v>7</v>
      </c>
      <c r="B455" s="67" t="s">
        <v>141</v>
      </c>
      <c r="C455" s="67" t="s">
        <v>291</v>
      </c>
      <c r="D455" s="67" t="s">
        <v>413</v>
      </c>
      <c r="E455" s="68" t="s">
        <v>414</v>
      </c>
      <c r="F455" s="69">
        <v>251.9</v>
      </c>
      <c r="G455" s="69">
        <v>251.9</v>
      </c>
      <c r="H455" s="69">
        <v>251.9</v>
      </c>
    </row>
    <row r="456" spans="1:8" ht="99">
      <c r="A456" s="67" t="s">
        <v>7</v>
      </c>
      <c r="B456" s="67" t="s">
        <v>141</v>
      </c>
      <c r="C456" s="67" t="s">
        <v>483</v>
      </c>
      <c r="D456" s="231" t="s">
        <v>93</v>
      </c>
      <c r="E456" s="68" t="s">
        <v>484</v>
      </c>
      <c r="F456" s="69">
        <f>F459+F457</f>
        <v>3234.5</v>
      </c>
      <c r="G456" s="69">
        <f aca="true" t="shared" si="211" ref="G456:H456">G459+G457</f>
        <v>0</v>
      </c>
      <c r="H456" s="69">
        <f t="shared" si="211"/>
        <v>0</v>
      </c>
    </row>
    <row r="457" spans="1:8" ht="82.5">
      <c r="A457" s="67" t="s">
        <v>7</v>
      </c>
      <c r="B457" s="67" t="s">
        <v>141</v>
      </c>
      <c r="C457" s="67" t="s">
        <v>603</v>
      </c>
      <c r="D457" s="67" t="s">
        <v>93</v>
      </c>
      <c r="E457" s="68" t="s">
        <v>604</v>
      </c>
      <c r="F457" s="69">
        <f>F458</f>
        <v>2467.2</v>
      </c>
      <c r="G457" s="69">
        <f aca="true" t="shared" si="212" ref="G457:H457">G458</f>
        <v>0</v>
      </c>
      <c r="H457" s="69">
        <f t="shared" si="212"/>
        <v>0</v>
      </c>
    </row>
    <row r="458" spans="1:8" ht="33">
      <c r="A458" s="67" t="s">
        <v>7</v>
      </c>
      <c r="B458" s="67" t="s">
        <v>141</v>
      </c>
      <c r="C458" s="67" t="s">
        <v>603</v>
      </c>
      <c r="D458" s="67" t="s">
        <v>96</v>
      </c>
      <c r="E458" s="68" t="s">
        <v>342</v>
      </c>
      <c r="F458" s="69">
        <v>2467.2</v>
      </c>
      <c r="G458" s="69">
        <v>0</v>
      </c>
      <c r="H458" s="69">
        <v>0</v>
      </c>
    </row>
    <row r="459" spans="1:8" ht="82.5">
      <c r="A459" s="67" t="s">
        <v>7</v>
      </c>
      <c r="B459" s="67" t="s">
        <v>141</v>
      </c>
      <c r="C459" s="67" t="s">
        <v>514</v>
      </c>
      <c r="D459" s="67" t="s">
        <v>93</v>
      </c>
      <c r="E459" s="68" t="s">
        <v>599</v>
      </c>
      <c r="F459" s="69">
        <f>F460</f>
        <v>767.3</v>
      </c>
      <c r="G459" s="69">
        <f aca="true" t="shared" si="213" ref="G459:H459">G460</f>
        <v>0</v>
      </c>
      <c r="H459" s="69">
        <f t="shared" si="213"/>
        <v>0</v>
      </c>
    </row>
    <row r="460" spans="1:8" ht="33">
      <c r="A460" s="67" t="s">
        <v>7</v>
      </c>
      <c r="B460" s="67" t="s">
        <v>141</v>
      </c>
      <c r="C460" s="67" t="s">
        <v>514</v>
      </c>
      <c r="D460" s="67" t="s">
        <v>96</v>
      </c>
      <c r="E460" s="68" t="s">
        <v>342</v>
      </c>
      <c r="F460" s="69">
        <f>506+276.9-15.6</f>
        <v>767.3</v>
      </c>
      <c r="G460" s="69">
        <v>0</v>
      </c>
      <c r="H460" s="69">
        <v>0</v>
      </c>
    </row>
    <row r="461" spans="1:8" ht="33">
      <c r="A461" s="67" t="s">
        <v>7</v>
      </c>
      <c r="B461" s="67" t="s">
        <v>145</v>
      </c>
      <c r="C461" s="67" t="s">
        <v>93</v>
      </c>
      <c r="D461" s="67" t="s">
        <v>93</v>
      </c>
      <c r="E461" s="68" t="s">
        <v>0</v>
      </c>
      <c r="F461" s="69">
        <f>F462</f>
        <v>2410.2</v>
      </c>
      <c r="G461" s="69">
        <f aca="true" t="shared" si="214" ref="G461:H461">G462</f>
        <v>2289.5</v>
      </c>
      <c r="H461" s="69">
        <f t="shared" si="214"/>
        <v>2289.5</v>
      </c>
    </row>
    <row r="462" spans="1:8" ht="66">
      <c r="A462" s="67" t="s">
        <v>7</v>
      </c>
      <c r="B462" s="67" t="s">
        <v>145</v>
      </c>
      <c r="C462" s="67" t="s">
        <v>276</v>
      </c>
      <c r="D462" s="67" t="s">
        <v>93</v>
      </c>
      <c r="E462" s="68" t="s">
        <v>464</v>
      </c>
      <c r="F462" s="69">
        <f>F463</f>
        <v>2410.2</v>
      </c>
      <c r="G462" s="69">
        <f aca="true" t="shared" si="215" ref="G462:H464">G463</f>
        <v>2289.5</v>
      </c>
      <c r="H462" s="69">
        <f t="shared" si="215"/>
        <v>2289.5</v>
      </c>
    </row>
    <row r="463" spans="1:8" ht="12.75">
      <c r="A463" s="67" t="s">
        <v>7</v>
      </c>
      <c r="B463" s="67" t="s">
        <v>145</v>
      </c>
      <c r="C463" s="67" t="s">
        <v>292</v>
      </c>
      <c r="D463" s="67" t="s">
        <v>93</v>
      </c>
      <c r="E463" s="68" t="s">
        <v>2</v>
      </c>
      <c r="F463" s="69">
        <f>F464</f>
        <v>2410.2</v>
      </c>
      <c r="G463" s="69">
        <f t="shared" si="215"/>
        <v>2289.5</v>
      </c>
      <c r="H463" s="69">
        <f t="shared" si="215"/>
        <v>2289.5</v>
      </c>
    </row>
    <row r="464" spans="1:8" ht="12.75">
      <c r="A464" s="67" t="s">
        <v>7</v>
      </c>
      <c r="B464" s="67" t="s">
        <v>145</v>
      </c>
      <c r="C464" s="67" t="s">
        <v>485</v>
      </c>
      <c r="D464" s="231" t="s">
        <v>93</v>
      </c>
      <c r="E464" s="68" t="s">
        <v>428</v>
      </c>
      <c r="F464" s="69">
        <f>F465</f>
        <v>2410.2</v>
      </c>
      <c r="G464" s="69">
        <f t="shared" si="215"/>
        <v>2289.5</v>
      </c>
      <c r="H464" s="69">
        <f t="shared" si="215"/>
        <v>2289.5</v>
      </c>
    </row>
    <row r="465" spans="1:8" ht="82.5">
      <c r="A465" s="67" t="s">
        <v>7</v>
      </c>
      <c r="B465" s="67" t="s">
        <v>145</v>
      </c>
      <c r="C465" s="67" t="s">
        <v>293</v>
      </c>
      <c r="D465" s="67" t="s">
        <v>93</v>
      </c>
      <c r="E465" s="68" t="s">
        <v>343</v>
      </c>
      <c r="F465" s="69">
        <f>F466+F467+F468</f>
        <v>2410.2</v>
      </c>
      <c r="G465" s="69">
        <f aca="true" t="shared" si="216" ref="G465:H465">G466+G467+G468</f>
        <v>2289.5</v>
      </c>
      <c r="H465" s="69">
        <f t="shared" si="216"/>
        <v>2289.5</v>
      </c>
    </row>
    <row r="466" spans="1:8" ht="82.5">
      <c r="A466" s="67" t="s">
        <v>7</v>
      </c>
      <c r="B466" s="67" t="s">
        <v>145</v>
      </c>
      <c r="C466" s="67" t="s">
        <v>293</v>
      </c>
      <c r="D466" s="67" t="s">
        <v>95</v>
      </c>
      <c r="E466" s="68" t="s">
        <v>3</v>
      </c>
      <c r="F466" s="69">
        <f>2035.7+103</f>
        <v>2138.7</v>
      </c>
      <c r="G466" s="69">
        <v>2035.7</v>
      </c>
      <c r="H466" s="69">
        <v>2035.7</v>
      </c>
    </row>
    <row r="467" spans="1:8" ht="33">
      <c r="A467" s="67" t="s">
        <v>7</v>
      </c>
      <c r="B467" s="67" t="s">
        <v>145</v>
      </c>
      <c r="C467" s="67" t="s">
        <v>293</v>
      </c>
      <c r="D467" s="67" t="s">
        <v>96</v>
      </c>
      <c r="E467" s="68" t="s">
        <v>342</v>
      </c>
      <c r="F467" s="69">
        <f>253.2+17.8</f>
        <v>271</v>
      </c>
      <c r="G467" s="69">
        <v>253.2</v>
      </c>
      <c r="H467" s="69">
        <v>253.2</v>
      </c>
    </row>
    <row r="468" spans="1:8" ht="12.75">
      <c r="A468" s="67" t="s">
        <v>7</v>
      </c>
      <c r="B468" s="67" t="s">
        <v>145</v>
      </c>
      <c r="C468" s="67" t="s">
        <v>293</v>
      </c>
      <c r="D468" s="67" t="s">
        <v>97</v>
      </c>
      <c r="E468" s="68" t="s">
        <v>98</v>
      </c>
      <c r="F468" s="69">
        <f>0.6-0.1</f>
        <v>0.5</v>
      </c>
      <c r="G468" s="69">
        <v>0.6</v>
      </c>
      <c r="H468" s="69">
        <v>0.6</v>
      </c>
    </row>
    <row r="469" spans="1:8" ht="33">
      <c r="A469" s="228" t="s">
        <v>14</v>
      </c>
      <c r="B469" s="67" t="s">
        <v>93</v>
      </c>
      <c r="C469" s="231" t="s">
        <v>93</v>
      </c>
      <c r="D469" s="231" t="s">
        <v>93</v>
      </c>
      <c r="E469" s="229" t="s">
        <v>524</v>
      </c>
      <c r="F469" s="230">
        <f>F470+F571</f>
        <v>445399</v>
      </c>
      <c r="G469" s="230">
        <f>G470+G571</f>
        <v>414835.1000000001</v>
      </c>
      <c r="H469" s="230">
        <f>H470+H571</f>
        <v>409963.80000000005</v>
      </c>
    </row>
    <row r="470" spans="1:8" ht="12.75">
      <c r="A470" s="67" t="s">
        <v>14</v>
      </c>
      <c r="B470" s="67" t="s">
        <v>62</v>
      </c>
      <c r="C470" s="67" t="s">
        <v>93</v>
      </c>
      <c r="D470" s="67" t="s">
        <v>93</v>
      </c>
      <c r="E470" s="68" t="s">
        <v>53</v>
      </c>
      <c r="F470" s="69">
        <f>F471+F493+F526+F546+F556</f>
        <v>436329.7</v>
      </c>
      <c r="G470" s="69">
        <f>G471+G493+G526+G546+G556</f>
        <v>405765.8000000001</v>
      </c>
      <c r="H470" s="69">
        <f>H471+H493+H526+H546+H556</f>
        <v>400894.50000000006</v>
      </c>
    </row>
    <row r="471" spans="1:8" ht="12.75">
      <c r="A471" s="67" t="s">
        <v>14</v>
      </c>
      <c r="B471" s="67" t="s">
        <v>77</v>
      </c>
      <c r="C471" s="67" t="s">
        <v>93</v>
      </c>
      <c r="D471" s="67" t="s">
        <v>93</v>
      </c>
      <c r="E471" s="68" t="s">
        <v>15</v>
      </c>
      <c r="F471" s="69">
        <f>F472+F489</f>
        <v>170700.6</v>
      </c>
      <c r="G471" s="69">
        <f aca="true" t="shared" si="217" ref="G471:H471">G472+G489</f>
        <v>158555.50000000003</v>
      </c>
      <c r="H471" s="69">
        <f t="shared" si="217"/>
        <v>154510.1</v>
      </c>
    </row>
    <row r="472" spans="1:8" ht="49.5">
      <c r="A472" s="67" t="s">
        <v>14</v>
      </c>
      <c r="B472" s="67" t="s">
        <v>77</v>
      </c>
      <c r="C472" s="67" t="s">
        <v>280</v>
      </c>
      <c r="D472" s="67" t="s">
        <v>93</v>
      </c>
      <c r="E472" s="68" t="s">
        <v>399</v>
      </c>
      <c r="F472" s="69">
        <f>F473</f>
        <v>170631.80000000002</v>
      </c>
      <c r="G472" s="69">
        <f aca="true" t="shared" si="218" ref="G472:H472">G473</f>
        <v>158555.50000000003</v>
      </c>
      <c r="H472" s="69">
        <f t="shared" si="218"/>
        <v>154510.1</v>
      </c>
    </row>
    <row r="473" spans="1:8" ht="49.5">
      <c r="A473" s="67" t="s">
        <v>14</v>
      </c>
      <c r="B473" s="67" t="s">
        <v>77</v>
      </c>
      <c r="C473" s="67" t="s">
        <v>281</v>
      </c>
      <c r="D473" s="67" t="s">
        <v>93</v>
      </c>
      <c r="E473" s="68" t="s">
        <v>114</v>
      </c>
      <c r="F473" s="69">
        <f>F474</f>
        <v>170631.80000000002</v>
      </c>
      <c r="G473" s="69">
        <f aca="true" t="shared" si="219" ref="G473:H473">G474</f>
        <v>158555.50000000003</v>
      </c>
      <c r="H473" s="69">
        <f t="shared" si="219"/>
        <v>154510.1</v>
      </c>
    </row>
    <row r="474" spans="1:8" ht="33">
      <c r="A474" s="67" t="s">
        <v>14</v>
      </c>
      <c r="B474" s="67" t="s">
        <v>77</v>
      </c>
      <c r="C474" s="67" t="s">
        <v>486</v>
      </c>
      <c r="D474" s="231" t="s">
        <v>93</v>
      </c>
      <c r="E474" s="68" t="s">
        <v>487</v>
      </c>
      <c r="F474" s="69">
        <f>F475+F477+F479+F481+F485+F487+F483</f>
        <v>170631.80000000002</v>
      </c>
      <c r="G474" s="69">
        <f aca="true" t="shared" si="220" ref="G474:H474">G475+G477+G479+G481+G485+G487+G483</f>
        <v>158555.50000000003</v>
      </c>
      <c r="H474" s="69">
        <f t="shared" si="220"/>
        <v>154510.1</v>
      </c>
    </row>
    <row r="475" spans="1:8" ht="66">
      <c r="A475" s="6" t="s">
        <v>14</v>
      </c>
      <c r="B475" s="6" t="s">
        <v>77</v>
      </c>
      <c r="C475" s="4" t="s">
        <v>297</v>
      </c>
      <c r="D475" s="4"/>
      <c r="E475" s="5" t="s">
        <v>116</v>
      </c>
      <c r="F475" s="69">
        <f>F476</f>
        <v>93411.2</v>
      </c>
      <c r="G475" s="69">
        <f aca="true" t="shared" si="221" ref="G475:H475">G476</f>
        <v>86119</v>
      </c>
      <c r="H475" s="69">
        <f t="shared" si="221"/>
        <v>86119</v>
      </c>
    </row>
    <row r="476" spans="1:8" ht="33">
      <c r="A476" s="6" t="s">
        <v>14</v>
      </c>
      <c r="B476" s="6" t="s">
        <v>77</v>
      </c>
      <c r="C476" s="4" t="s">
        <v>297</v>
      </c>
      <c r="D476" s="180">
        <v>600</v>
      </c>
      <c r="E476" s="5" t="s">
        <v>117</v>
      </c>
      <c r="F476" s="69">
        <f>86119+4036.5+3255.7</f>
        <v>93411.2</v>
      </c>
      <c r="G476" s="69">
        <v>86119</v>
      </c>
      <c r="H476" s="69">
        <v>86119</v>
      </c>
    </row>
    <row r="477" spans="1:8" ht="66">
      <c r="A477" s="6" t="s">
        <v>14</v>
      </c>
      <c r="B477" s="6" t="s">
        <v>77</v>
      </c>
      <c r="C477" s="4" t="s">
        <v>294</v>
      </c>
      <c r="D477" s="4"/>
      <c r="E477" s="21" t="s">
        <v>115</v>
      </c>
      <c r="F477" s="69">
        <f>F478</f>
        <v>68756.70000000001</v>
      </c>
      <c r="G477" s="69">
        <f aca="true" t="shared" si="222" ref="G477:H477">G478</f>
        <v>68391.1</v>
      </c>
      <c r="H477" s="69">
        <f t="shared" si="222"/>
        <v>68391.1</v>
      </c>
    </row>
    <row r="478" spans="1:8" ht="33">
      <c r="A478" s="6" t="s">
        <v>14</v>
      </c>
      <c r="B478" s="6" t="s">
        <v>77</v>
      </c>
      <c r="C478" s="4" t="s">
        <v>294</v>
      </c>
      <c r="D478" s="180">
        <v>600</v>
      </c>
      <c r="E478" s="5" t="s">
        <v>117</v>
      </c>
      <c r="F478" s="69">
        <f>68391.1+365.6</f>
        <v>68756.70000000001</v>
      </c>
      <c r="G478" s="69">
        <v>68391.1</v>
      </c>
      <c r="H478" s="69">
        <v>68391.1</v>
      </c>
    </row>
    <row r="479" spans="1:8" ht="49.5">
      <c r="A479" s="67" t="s">
        <v>14</v>
      </c>
      <c r="B479" s="67" t="s">
        <v>77</v>
      </c>
      <c r="C479" s="67" t="s">
        <v>295</v>
      </c>
      <c r="D479" s="67" t="s">
        <v>93</v>
      </c>
      <c r="E479" s="68" t="s">
        <v>488</v>
      </c>
      <c r="F479" s="69">
        <f>F480</f>
        <v>2777.7</v>
      </c>
      <c r="G479" s="69">
        <f aca="true" t="shared" si="223" ref="G479:H479">G480</f>
        <v>556.7</v>
      </c>
      <c r="H479" s="69">
        <f t="shared" si="223"/>
        <v>0</v>
      </c>
    </row>
    <row r="480" spans="1:8" ht="33">
      <c r="A480" s="67" t="s">
        <v>14</v>
      </c>
      <c r="B480" s="67" t="s">
        <v>77</v>
      </c>
      <c r="C480" s="67" t="s">
        <v>295</v>
      </c>
      <c r="D480" s="67" t="s">
        <v>413</v>
      </c>
      <c r="E480" s="68" t="s">
        <v>414</v>
      </c>
      <c r="F480" s="69">
        <f>2625.1+140+12.6</f>
        <v>2777.7</v>
      </c>
      <c r="G480" s="69">
        <v>556.7</v>
      </c>
      <c r="H480" s="69">
        <v>0</v>
      </c>
    </row>
    <row r="481" spans="1:8" ht="49.5">
      <c r="A481" s="67" t="s">
        <v>14</v>
      </c>
      <c r="B481" s="67" t="s">
        <v>77</v>
      </c>
      <c r="C481" s="67" t="s">
        <v>296</v>
      </c>
      <c r="D481" s="67" t="s">
        <v>93</v>
      </c>
      <c r="E481" s="68" t="s">
        <v>121</v>
      </c>
      <c r="F481" s="69">
        <f>F482</f>
        <v>2566.4</v>
      </c>
      <c r="G481" s="69">
        <f aca="true" t="shared" si="224" ref="G481:H481">G482</f>
        <v>3488.7</v>
      </c>
      <c r="H481" s="69">
        <f t="shared" si="224"/>
        <v>0</v>
      </c>
    </row>
    <row r="482" spans="1:8" ht="33">
      <c r="A482" s="67" t="s">
        <v>14</v>
      </c>
      <c r="B482" s="67" t="s">
        <v>77</v>
      </c>
      <c r="C482" s="67" t="s">
        <v>296</v>
      </c>
      <c r="D482" s="67" t="s">
        <v>413</v>
      </c>
      <c r="E482" s="68" t="s">
        <v>414</v>
      </c>
      <c r="F482" s="69">
        <f>1377.1+308.4+430.5-160.5+610.9</f>
        <v>2566.4</v>
      </c>
      <c r="G482" s="69">
        <v>3488.7</v>
      </c>
      <c r="H482" s="69">
        <v>0</v>
      </c>
    </row>
    <row r="483" spans="1:8" ht="49.5">
      <c r="A483" s="67" t="s">
        <v>14</v>
      </c>
      <c r="B483" s="67" t="s">
        <v>77</v>
      </c>
      <c r="C483" s="67" t="s">
        <v>710</v>
      </c>
      <c r="D483" s="67"/>
      <c r="E483" s="68" t="s">
        <v>711</v>
      </c>
      <c r="F483" s="69">
        <f>F484</f>
        <v>173.8</v>
      </c>
      <c r="G483" s="69">
        <f aca="true" t="shared" si="225" ref="G483:H483">G484</f>
        <v>0</v>
      </c>
      <c r="H483" s="69">
        <f t="shared" si="225"/>
        <v>0</v>
      </c>
    </row>
    <row r="484" spans="1:8" ht="33">
      <c r="A484" s="67" t="s">
        <v>14</v>
      </c>
      <c r="B484" s="67" t="s">
        <v>77</v>
      </c>
      <c r="C484" s="67" t="s">
        <v>710</v>
      </c>
      <c r="D484" s="67" t="s">
        <v>413</v>
      </c>
      <c r="E484" s="68" t="s">
        <v>414</v>
      </c>
      <c r="F484" s="69">
        <f>98.3+75.5</f>
        <v>173.8</v>
      </c>
      <c r="G484" s="69">
        <v>0</v>
      </c>
      <c r="H484" s="69">
        <v>0</v>
      </c>
    </row>
    <row r="485" spans="1:8" ht="82.5">
      <c r="A485" s="67" t="s">
        <v>14</v>
      </c>
      <c r="B485" s="67" t="s">
        <v>77</v>
      </c>
      <c r="C485" s="67" t="s">
        <v>543</v>
      </c>
      <c r="D485" s="67" t="s">
        <v>93</v>
      </c>
      <c r="E485" s="68" t="s">
        <v>544</v>
      </c>
      <c r="F485" s="69">
        <f>F486</f>
        <v>90.3</v>
      </c>
      <c r="G485" s="69">
        <f aca="true" t="shared" si="226" ref="G485:H485">G486</f>
        <v>0</v>
      </c>
      <c r="H485" s="69">
        <f t="shared" si="226"/>
        <v>0</v>
      </c>
    </row>
    <row r="486" spans="1:8" ht="33">
      <c r="A486" s="67" t="s">
        <v>14</v>
      </c>
      <c r="B486" s="67" t="s">
        <v>77</v>
      </c>
      <c r="C486" s="67" t="s">
        <v>543</v>
      </c>
      <c r="D486" s="67" t="s">
        <v>413</v>
      </c>
      <c r="E486" s="68" t="s">
        <v>414</v>
      </c>
      <c r="F486" s="69">
        <v>90.3</v>
      </c>
      <c r="G486" s="69">
        <v>0</v>
      </c>
      <c r="H486" s="69">
        <v>0</v>
      </c>
    </row>
    <row r="487" spans="1:8" ht="99">
      <c r="A487" s="67" t="s">
        <v>14</v>
      </c>
      <c r="B487" s="67" t="s">
        <v>77</v>
      </c>
      <c r="C487" s="67" t="s">
        <v>607</v>
      </c>
      <c r="D487" s="67" t="s">
        <v>93</v>
      </c>
      <c r="E487" s="68" t="s">
        <v>610</v>
      </c>
      <c r="F487" s="69">
        <f>F488</f>
        <v>2855.7</v>
      </c>
      <c r="G487" s="69">
        <f aca="true" t="shared" si="227" ref="G487:H487">G488</f>
        <v>0</v>
      </c>
      <c r="H487" s="69">
        <f t="shared" si="227"/>
        <v>0</v>
      </c>
    </row>
    <row r="488" spans="1:8" ht="33">
      <c r="A488" s="67" t="s">
        <v>14</v>
      </c>
      <c r="B488" s="67" t="s">
        <v>77</v>
      </c>
      <c r="C488" s="67" t="s">
        <v>607</v>
      </c>
      <c r="D488" s="67" t="s">
        <v>413</v>
      </c>
      <c r="E488" s="68" t="s">
        <v>414</v>
      </c>
      <c r="F488" s="69">
        <v>2855.7</v>
      </c>
      <c r="G488" s="69">
        <v>0</v>
      </c>
      <c r="H488" s="69">
        <v>0</v>
      </c>
    </row>
    <row r="489" spans="1:8" ht="33">
      <c r="A489" s="67" t="s">
        <v>14</v>
      </c>
      <c r="B489" s="67" t="s">
        <v>77</v>
      </c>
      <c r="C489" s="31">
        <v>9900000000</v>
      </c>
      <c r="D489" s="89"/>
      <c r="E489" s="32" t="s">
        <v>506</v>
      </c>
      <c r="F489" s="69">
        <f>F490</f>
        <v>68.8</v>
      </c>
      <c r="G489" s="69">
        <f aca="true" t="shared" si="228" ref="G489:H491">G490</f>
        <v>0</v>
      </c>
      <c r="H489" s="69">
        <f t="shared" si="228"/>
        <v>0</v>
      </c>
    </row>
    <row r="490" spans="1:8" ht="49.5">
      <c r="A490" s="67" t="s">
        <v>14</v>
      </c>
      <c r="B490" s="67" t="s">
        <v>77</v>
      </c>
      <c r="C490" s="31">
        <v>9950000000</v>
      </c>
      <c r="D490" s="87"/>
      <c r="E490" s="5" t="s">
        <v>625</v>
      </c>
      <c r="F490" s="69">
        <f>F491</f>
        <v>68.8</v>
      </c>
      <c r="G490" s="69">
        <f t="shared" si="228"/>
        <v>0</v>
      </c>
      <c r="H490" s="69">
        <f t="shared" si="228"/>
        <v>0</v>
      </c>
    </row>
    <row r="491" spans="1:8" ht="49.5">
      <c r="A491" s="67" t="s">
        <v>14</v>
      </c>
      <c r="B491" s="67" t="s">
        <v>77</v>
      </c>
      <c r="C491" s="31" t="s">
        <v>626</v>
      </c>
      <c r="D491" s="87"/>
      <c r="E491" s="5" t="s">
        <v>627</v>
      </c>
      <c r="F491" s="69">
        <f>F492</f>
        <v>68.8</v>
      </c>
      <c r="G491" s="69">
        <f t="shared" si="228"/>
        <v>0</v>
      </c>
      <c r="H491" s="69">
        <f t="shared" si="228"/>
        <v>0</v>
      </c>
    </row>
    <row r="492" spans="1:8" ht="33">
      <c r="A492" s="67" t="s">
        <v>14</v>
      </c>
      <c r="B492" s="67" t="s">
        <v>77</v>
      </c>
      <c r="C492" s="31" t="s">
        <v>626</v>
      </c>
      <c r="D492" s="180">
        <v>600</v>
      </c>
      <c r="E492" s="5" t="s">
        <v>117</v>
      </c>
      <c r="F492" s="69">
        <v>68.8</v>
      </c>
      <c r="G492" s="69">
        <v>0</v>
      </c>
      <c r="H492" s="69">
        <v>0</v>
      </c>
    </row>
    <row r="493" spans="1:8" ht="12.75">
      <c r="A493" s="67" t="s">
        <v>14</v>
      </c>
      <c r="B493" s="67" t="s">
        <v>78</v>
      </c>
      <c r="C493" s="67" t="s">
        <v>93</v>
      </c>
      <c r="D493" s="67" t="s">
        <v>93</v>
      </c>
      <c r="E493" s="68" t="s">
        <v>16</v>
      </c>
      <c r="F493" s="69">
        <f>F494+F523</f>
        <v>236693.5</v>
      </c>
      <c r="G493" s="69">
        <f aca="true" t="shared" si="229" ref="G493:H493">G494+G542</f>
        <v>224831.00000000003</v>
      </c>
      <c r="H493" s="69">
        <f t="shared" si="229"/>
        <v>224173.80000000002</v>
      </c>
    </row>
    <row r="494" spans="1:8" ht="49.5">
      <c r="A494" s="67" t="s">
        <v>14</v>
      </c>
      <c r="B494" s="67" t="s">
        <v>78</v>
      </c>
      <c r="C494" s="67" t="s">
        <v>280</v>
      </c>
      <c r="D494" s="67" t="s">
        <v>93</v>
      </c>
      <c r="E494" s="68" t="s">
        <v>399</v>
      </c>
      <c r="F494" s="69">
        <f>F495</f>
        <v>236543.5</v>
      </c>
      <c r="G494" s="69">
        <f aca="true" t="shared" si="230" ref="G494:H494">G495</f>
        <v>224831.00000000003</v>
      </c>
      <c r="H494" s="69">
        <f t="shared" si="230"/>
        <v>224173.80000000002</v>
      </c>
    </row>
    <row r="495" spans="1:8" ht="49.5">
      <c r="A495" s="67" t="s">
        <v>14</v>
      </c>
      <c r="B495" s="67" t="s">
        <v>78</v>
      </c>
      <c r="C495" s="67" t="s">
        <v>281</v>
      </c>
      <c r="D495" s="67" t="s">
        <v>93</v>
      </c>
      <c r="E495" s="68" t="s">
        <v>114</v>
      </c>
      <c r="F495" s="69">
        <f>F496+F519</f>
        <v>236543.5</v>
      </c>
      <c r="G495" s="69">
        <f>G496+G519</f>
        <v>224831.00000000003</v>
      </c>
      <c r="H495" s="69">
        <f>H496+H519</f>
        <v>224173.80000000002</v>
      </c>
    </row>
    <row r="496" spans="1:8" ht="49.5">
      <c r="A496" s="67" t="s">
        <v>14</v>
      </c>
      <c r="B496" s="67" t="s">
        <v>78</v>
      </c>
      <c r="C496" s="67" t="s">
        <v>489</v>
      </c>
      <c r="D496" s="231" t="s">
        <v>93</v>
      </c>
      <c r="E496" s="68" t="s">
        <v>490</v>
      </c>
      <c r="F496" s="69">
        <f>F503+F505+F507+F513+F515+F511+F517+F509+F497+F499+F501</f>
        <v>232833.7</v>
      </c>
      <c r="G496" s="69">
        <f aca="true" t="shared" si="231" ref="G496:H496">G503+G505+G507+G513+G515+G511+G517+G509+G497+G499+G501</f>
        <v>221125.90000000002</v>
      </c>
      <c r="H496" s="69">
        <f t="shared" si="231"/>
        <v>220468.7</v>
      </c>
    </row>
    <row r="497" spans="1:8" ht="66">
      <c r="A497" s="6" t="s">
        <v>14</v>
      </c>
      <c r="B497" s="6" t="s">
        <v>78</v>
      </c>
      <c r="C497" s="4" t="s">
        <v>574</v>
      </c>
      <c r="D497" s="4"/>
      <c r="E497" s="14" t="s">
        <v>575</v>
      </c>
      <c r="F497" s="69">
        <f>F498</f>
        <v>4212.5</v>
      </c>
      <c r="G497" s="69">
        <f aca="true" t="shared" si="232" ref="G497:H497">G498</f>
        <v>0</v>
      </c>
      <c r="H497" s="69">
        <f t="shared" si="232"/>
        <v>0</v>
      </c>
    </row>
    <row r="498" spans="1:8" ht="33">
      <c r="A498" s="6" t="s">
        <v>14</v>
      </c>
      <c r="B498" s="6" t="s">
        <v>78</v>
      </c>
      <c r="C498" s="4" t="s">
        <v>574</v>
      </c>
      <c r="D498" s="180">
        <v>600</v>
      </c>
      <c r="E498" s="21" t="s">
        <v>117</v>
      </c>
      <c r="F498" s="69">
        <v>4212.5</v>
      </c>
      <c r="G498" s="69">
        <v>0</v>
      </c>
      <c r="H498" s="69">
        <v>0</v>
      </c>
    </row>
    <row r="499" spans="1:8" ht="82.5">
      <c r="A499" s="6" t="s">
        <v>14</v>
      </c>
      <c r="B499" s="6" t="s">
        <v>78</v>
      </c>
      <c r="C499" s="4" t="s">
        <v>579</v>
      </c>
      <c r="D499" s="4"/>
      <c r="E499" s="68" t="s">
        <v>581</v>
      </c>
      <c r="F499" s="69">
        <f>F500</f>
        <v>5153.9</v>
      </c>
      <c r="G499" s="69">
        <f aca="true" t="shared" si="233" ref="G499:H499">G500</f>
        <v>0</v>
      </c>
      <c r="H499" s="69">
        <f t="shared" si="233"/>
        <v>0</v>
      </c>
    </row>
    <row r="500" spans="1:8" ht="33">
      <c r="A500" s="6" t="s">
        <v>14</v>
      </c>
      <c r="B500" s="6" t="s">
        <v>78</v>
      </c>
      <c r="C500" s="4" t="s">
        <v>579</v>
      </c>
      <c r="D500" s="180">
        <v>600</v>
      </c>
      <c r="E500" s="21" t="s">
        <v>117</v>
      </c>
      <c r="F500" s="69">
        <f>2980.9+2173</f>
        <v>5153.9</v>
      </c>
      <c r="G500" s="69">
        <v>0</v>
      </c>
      <c r="H500" s="69">
        <v>0</v>
      </c>
    </row>
    <row r="501" spans="1:8" ht="82.5">
      <c r="A501" s="67" t="s">
        <v>14</v>
      </c>
      <c r="B501" s="67" t="s">
        <v>78</v>
      </c>
      <c r="C501" s="67" t="s">
        <v>606</v>
      </c>
      <c r="D501" s="67" t="s">
        <v>93</v>
      </c>
      <c r="E501" s="68" t="s">
        <v>609</v>
      </c>
      <c r="F501" s="69">
        <f>F502</f>
        <v>205.9</v>
      </c>
      <c r="G501" s="69">
        <f aca="true" t="shared" si="234" ref="G501:H501">G502</f>
        <v>0</v>
      </c>
      <c r="H501" s="69">
        <f t="shared" si="234"/>
        <v>0</v>
      </c>
    </row>
    <row r="502" spans="1:8" ht="33">
      <c r="A502" s="67" t="s">
        <v>14</v>
      </c>
      <c r="B502" s="67" t="s">
        <v>78</v>
      </c>
      <c r="C502" s="67" t="s">
        <v>606</v>
      </c>
      <c r="D502" s="67" t="s">
        <v>413</v>
      </c>
      <c r="E502" s="68" t="s">
        <v>414</v>
      </c>
      <c r="F502" s="69">
        <v>205.9</v>
      </c>
      <c r="G502" s="69">
        <v>0</v>
      </c>
      <c r="H502" s="69">
        <v>0</v>
      </c>
    </row>
    <row r="503" spans="1:8" ht="115.5">
      <c r="A503" s="6" t="s">
        <v>14</v>
      </c>
      <c r="B503" s="6" t="s">
        <v>78</v>
      </c>
      <c r="C503" s="4" t="s">
        <v>303</v>
      </c>
      <c r="D503" s="4"/>
      <c r="E503" s="21" t="s">
        <v>129</v>
      </c>
      <c r="F503" s="69">
        <f>F504</f>
        <v>176653</v>
      </c>
      <c r="G503" s="69">
        <f aca="true" t="shared" si="235" ref="G503:H503">G504</f>
        <v>176653</v>
      </c>
      <c r="H503" s="69">
        <f t="shared" si="235"/>
        <v>176653</v>
      </c>
    </row>
    <row r="504" spans="1:8" ht="33">
      <c r="A504" s="6" t="s">
        <v>14</v>
      </c>
      <c r="B504" s="6" t="s">
        <v>78</v>
      </c>
      <c r="C504" s="4" t="s">
        <v>303</v>
      </c>
      <c r="D504" s="180">
        <v>600</v>
      </c>
      <c r="E504" s="21" t="s">
        <v>117</v>
      </c>
      <c r="F504" s="69">
        <v>176653</v>
      </c>
      <c r="G504" s="69">
        <v>176653</v>
      </c>
      <c r="H504" s="69">
        <v>176653</v>
      </c>
    </row>
    <row r="505" spans="1:8" ht="66">
      <c r="A505" s="6" t="s">
        <v>14</v>
      </c>
      <c r="B505" s="6" t="s">
        <v>78</v>
      </c>
      <c r="C505" s="4" t="s">
        <v>298</v>
      </c>
      <c r="D505" s="4"/>
      <c r="E505" s="21" t="s">
        <v>118</v>
      </c>
      <c r="F505" s="69">
        <f>F506</f>
        <v>37194.7</v>
      </c>
      <c r="G505" s="69">
        <f aca="true" t="shared" si="236" ref="G505:H505">G506</f>
        <v>38502.6</v>
      </c>
      <c r="H505" s="69">
        <f t="shared" si="236"/>
        <v>38502.6</v>
      </c>
    </row>
    <row r="506" spans="1:8" ht="33">
      <c r="A506" s="6" t="s">
        <v>14</v>
      </c>
      <c r="B506" s="6" t="s">
        <v>78</v>
      </c>
      <c r="C506" s="4" t="s">
        <v>298</v>
      </c>
      <c r="D506" s="180">
        <v>600</v>
      </c>
      <c r="E506" s="5" t="s">
        <v>117</v>
      </c>
      <c r="F506" s="69">
        <f>38502.6-1375.8+67.9</f>
        <v>37194.7</v>
      </c>
      <c r="G506" s="69">
        <v>38502.6</v>
      </c>
      <c r="H506" s="69">
        <v>38502.6</v>
      </c>
    </row>
    <row r="507" spans="1:8" ht="49.5">
      <c r="A507" s="67" t="s">
        <v>14</v>
      </c>
      <c r="B507" s="67" t="s">
        <v>78</v>
      </c>
      <c r="C507" s="67" t="s">
        <v>301</v>
      </c>
      <c r="D507" s="67" t="s">
        <v>93</v>
      </c>
      <c r="E507" s="68" t="s">
        <v>491</v>
      </c>
      <c r="F507" s="69">
        <f aca="true" t="shared" si="237" ref="F507:H507">F508</f>
        <v>1004.6</v>
      </c>
      <c r="G507" s="69">
        <f t="shared" si="237"/>
        <v>657.2</v>
      </c>
      <c r="H507" s="69">
        <f t="shared" si="237"/>
        <v>0</v>
      </c>
    </row>
    <row r="508" spans="1:8" ht="33">
      <c r="A508" s="67" t="s">
        <v>14</v>
      </c>
      <c r="B508" s="67" t="s">
        <v>78</v>
      </c>
      <c r="C508" s="67" t="s">
        <v>301</v>
      </c>
      <c r="D508" s="67" t="s">
        <v>413</v>
      </c>
      <c r="E508" s="68" t="s">
        <v>414</v>
      </c>
      <c r="F508" s="69">
        <f>315.6+564+78.6+46.4</f>
        <v>1004.6</v>
      </c>
      <c r="G508" s="69">
        <v>657.2</v>
      </c>
      <c r="H508" s="69">
        <v>0</v>
      </c>
    </row>
    <row r="509" spans="1:8" ht="49.5">
      <c r="A509" s="67" t="s">
        <v>14</v>
      </c>
      <c r="B509" s="67" t="s">
        <v>78</v>
      </c>
      <c r="C509" s="67" t="s">
        <v>564</v>
      </c>
      <c r="D509" s="67" t="s">
        <v>93</v>
      </c>
      <c r="E509" s="68" t="s">
        <v>573</v>
      </c>
      <c r="F509" s="69">
        <f>F510</f>
        <v>1491</v>
      </c>
      <c r="G509" s="69">
        <f aca="true" t="shared" si="238" ref="G509:H509">G510</f>
        <v>0</v>
      </c>
      <c r="H509" s="69">
        <f t="shared" si="238"/>
        <v>0</v>
      </c>
    </row>
    <row r="510" spans="1:8" ht="33">
      <c r="A510" s="67" t="s">
        <v>14</v>
      </c>
      <c r="B510" s="67" t="s">
        <v>78</v>
      </c>
      <c r="C510" s="67" t="s">
        <v>564</v>
      </c>
      <c r="D510" s="67" t="s">
        <v>413</v>
      </c>
      <c r="E510" s="68" t="s">
        <v>414</v>
      </c>
      <c r="F510" s="69">
        <f>173.2+1317.8</f>
        <v>1491</v>
      </c>
      <c r="G510" s="69">
        <v>0</v>
      </c>
      <c r="H510" s="69">
        <v>0</v>
      </c>
    </row>
    <row r="511" spans="1:8" ht="33">
      <c r="A511" s="67" t="s">
        <v>14</v>
      </c>
      <c r="B511" s="67" t="s">
        <v>78</v>
      </c>
      <c r="C511" s="67" t="s">
        <v>545</v>
      </c>
      <c r="D511" s="67" t="s">
        <v>93</v>
      </c>
      <c r="E511" s="68" t="s">
        <v>546</v>
      </c>
      <c r="F511" s="69">
        <f>F512</f>
        <v>850.3</v>
      </c>
      <c r="G511" s="69">
        <f aca="true" t="shared" si="239" ref="G511:H511">G512</f>
        <v>0</v>
      </c>
      <c r="H511" s="69">
        <f t="shared" si="239"/>
        <v>0</v>
      </c>
    </row>
    <row r="512" spans="1:8" ht="33">
      <c r="A512" s="67" t="s">
        <v>14</v>
      </c>
      <c r="B512" s="67" t="s">
        <v>78</v>
      </c>
      <c r="C512" s="67" t="s">
        <v>545</v>
      </c>
      <c r="D512" s="67" t="s">
        <v>413</v>
      </c>
      <c r="E512" s="68" t="s">
        <v>414</v>
      </c>
      <c r="F512" s="69">
        <f>186.9+548.4+115</f>
        <v>850.3</v>
      </c>
      <c r="G512" s="69">
        <v>0</v>
      </c>
      <c r="H512" s="69">
        <v>0</v>
      </c>
    </row>
    <row r="513" spans="1:8" ht="49.5">
      <c r="A513" s="67" t="s">
        <v>14</v>
      </c>
      <c r="B513" s="67" t="s">
        <v>78</v>
      </c>
      <c r="C513" s="67" t="s">
        <v>302</v>
      </c>
      <c r="D513" s="67" t="s">
        <v>93</v>
      </c>
      <c r="E513" s="68" t="s">
        <v>123</v>
      </c>
      <c r="F513" s="69">
        <f>F514</f>
        <v>4414</v>
      </c>
      <c r="G513" s="69">
        <f aca="true" t="shared" si="240" ref="G513:H513">G514</f>
        <v>5313.1</v>
      </c>
      <c r="H513" s="69">
        <f t="shared" si="240"/>
        <v>5313.1</v>
      </c>
    </row>
    <row r="514" spans="1:8" ht="33">
      <c r="A514" s="67" t="s">
        <v>14</v>
      </c>
      <c r="B514" s="67" t="s">
        <v>78</v>
      </c>
      <c r="C514" s="67" t="s">
        <v>302</v>
      </c>
      <c r="D514" s="67" t="s">
        <v>413</v>
      </c>
      <c r="E514" s="68" t="s">
        <v>414</v>
      </c>
      <c r="F514" s="69">
        <f>5298.9-884.9</f>
        <v>4414</v>
      </c>
      <c r="G514" s="69">
        <v>5313.1</v>
      </c>
      <c r="H514" s="69">
        <v>5313.1</v>
      </c>
    </row>
    <row r="515" spans="1:8" ht="66">
      <c r="A515" s="67" t="s">
        <v>14</v>
      </c>
      <c r="B515" s="67" t="s">
        <v>78</v>
      </c>
      <c r="C515" s="67" t="s">
        <v>513</v>
      </c>
      <c r="D515" s="67" t="s">
        <v>93</v>
      </c>
      <c r="E515" s="68" t="s">
        <v>512</v>
      </c>
      <c r="F515" s="69">
        <f>F516</f>
        <v>1651.6999999999998</v>
      </c>
      <c r="G515" s="69">
        <f aca="true" t="shared" si="241" ref="G515:H515">G516</f>
        <v>0</v>
      </c>
      <c r="H515" s="69">
        <f t="shared" si="241"/>
        <v>0</v>
      </c>
    </row>
    <row r="516" spans="1:8" ht="33">
      <c r="A516" s="67" t="s">
        <v>14</v>
      </c>
      <c r="B516" s="67" t="s">
        <v>78</v>
      </c>
      <c r="C516" s="67" t="s">
        <v>513</v>
      </c>
      <c r="D516" s="67" t="s">
        <v>413</v>
      </c>
      <c r="E516" s="68" t="s">
        <v>414</v>
      </c>
      <c r="F516" s="69">
        <f>1393+574.3-315.6</f>
        <v>1651.6999999999998</v>
      </c>
      <c r="G516" s="69">
        <v>0</v>
      </c>
      <c r="H516" s="69">
        <v>0</v>
      </c>
    </row>
    <row r="517" spans="1:8" ht="49.5">
      <c r="A517" s="67" t="s">
        <v>14</v>
      </c>
      <c r="B517" s="67" t="s">
        <v>78</v>
      </c>
      <c r="C517" s="67" t="s">
        <v>549</v>
      </c>
      <c r="D517" s="67" t="s">
        <v>93</v>
      </c>
      <c r="E517" s="68" t="s">
        <v>550</v>
      </c>
      <c r="F517" s="69">
        <f>F518</f>
        <v>2.1</v>
      </c>
      <c r="G517" s="69">
        <f aca="true" t="shared" si="242" ref="G517:H517">G518</f>
        <v>0</v>
      </c>
      <c r="H517" s="69">
        <f t="shared" si="242"/>
        <v>0</v>
      </c>
    </row>
    <row r="518" spans="1:8" ht="33">
      <c r="A518" s="67" t="s">
        <v>14</v>
      </c>
      <c r="B518" s="67" t="s">
        <v>78</v>
      </c>
      <c r="C518" s="67" t="s">
        <v>549</v>
      </c>
      <c r="D518" s="67" t="s">
        <v>413</v>
      </c>
      <c r="E518" s="68" t="s">
        <v>414</v>
      </c>
      <c r="F518" s="69">
        <v>2.1</v>
      </c>
      <c r="G518" s="69">
        <v>0</v>
      </c>
      <c r="H518" s="69">
        <v>0</v>
      </c>
    </row>
    <row r="519" spans="1:8" ht="49.5">
      <c r="A519" s="6" t="s">
        <v>14</v>
      </c>
      <c r="B519" s="6" t="s">
        <v>78</v>
      </c>
      <c r="C519" s="6" t="s">
        <v>502</v>
      </c>
      <c r="D519" s="180"/>
      <c r="E519" s="5" t="s">
        <v>503</v>
      </c>
      <c r="F519" s="69">
        <f>F520</f>
        <v>3709.7999999999997</v>
      </c>
      <c r="G519" s="69">
        <f aca="true" t="shared" si="243" ref="G519:H520">G520</f>
        <v>3705.1</v>
      </c>
      <c r="H519" s="69">
        <f t="shared" si="243"/>
        <v>3705.1</v>
      </c>
    </row>
    <row r="520" spans="1:8" ht="49.5">
      <c r="A520" s="6" t="s">
        <v>14</v>
      </c>
      <c r="B520" s="6" t="s">
        <v>78</v>
      </c>
      <c r="C520" s="4" t="s">
        <v>299</v>
      </c>
      <c r="D520" s="4"/>
      <c r="E520" s="21" t="s">
        <v>119</v>
      </c>
      <c r="F520" s="69">
        <f>F521</f>
        <v>3709.7999999999997</v>
      </c>
      <c r="G520" s="69">
        <f t="shared" si="243"/>
        <v>3705.1</v>
      </c>
      <c r="H520" s="69">
        <f t="shared" si="243"/>
        <v>3705.1</v>
      </c>
    </row>
    <row r="521" spans="1:8" ht="33">
      <c r="A521" s="6" t="s">
        <v>14</v>
      </c>
      <c r="B521" s="6" t="s">
        <v>78</v>
      </c>
      <c r="C521" s="4" t="s">
        <v>299</v>
      </c>
      <c r="D521" s="180">
        <v>600</v>
      </c>
      <c r="E521" s="5" t="s">
        <v>117</v>
      </c>
      <c r="F521" s="69">
        <f>3705.1+4.7</f>
        <v>3709.7999999999997</v>
      </c>
      <c r="G521" s="69">
        <v>3705.1</v>
      </c>
      <c r="H521" s="69">
        <v>3705.1</v>
      </c>
    </row>
    <row r="522" spans="1:8" ht="33">
      <c r="A522" s="67" t="s">
        <v>14</v>
      </c>
      <c r="B522" s="67" t="s">
        <v>78</v>
      </c>
      <c r="C522" s="31">
        <v>9900000000</v>
      </c>
      <c r="D522" s="89"/>
      <c r="E522" s="32" t="s">
        <v>506</v>
      </c>
      <c r="F522" s="69">
        <f>F523</f>
        <v>150</v>
      </c>
      <c r="G522" s="69">
        <f aca="true" t="shared" si="244" ref="G522:H524">G523</f>
        <v>0</v>
      </c>
      <c r="H522" s="69">
        <f t="shared" si="244"/>
        <v>0</v>
      </c>
    </row>
    <row r="523" spans="1:8" ht="49.5">
      <c r="A523" s="6" t="s">
        <v>14</v>
      </c>
      <c r="B523" s="6" t="s">
        <v>78</v>
      </c>
      <c r="C523" s="31">
        <v>9950000000</v>
      </c>
      <c r="D523" s="87"/>
      <c r="E523" s="5" t="s">
        <v>625</v>
      </c>
      <c r="F523" s="69">
        <f>F524</f>
        <v>150</v>
      </c>
      <c r="G523" s="69">
        <f t="shared" si="244"/>
        <v>0</v>
      </c>
      <c r="H523" s="69">
        <f t="shared" si="244"/>
        <v>0</v>
      </c>
    </row>
    <row r="524" spans="1:8" ht="49.5">
      <c r="A524" s="6" t="s">
        <v>14</v>
      </c>
      <c r="B524" s="6" t="s">
        <v>78</v>
      </c>
      <c r="C524" s="31" t="s">
        <v>626</v>
      </c>
      <c r="D524" s="87"/>
      <c r="E524" s="5" t="s">
        <v>627</v>
      </c>
      <c r="F524" s="69">
        <f>F525</f>
        <v>150</v>
      </c>
      <c r="G524" s="69">
        <f t="shared" si="244"/>
        <v>0</v>
      </c>
      <c r="H524" s="69">
        <f t="shared" si="244"/>
        <v>0</v>
      </c>
    </row>
    <row r="525" spans="1:8" ht="33">
      <c r="A525" s="6" t="s">
        <v>14</v>
      </c>
      <c r="B525" s="6" t="s">
        <v>78</v>
      </c>
      <c r="C525" s="31" t="s">
        <v>626</v>
      </c>
      <c r="D525" s="180">
        <v>600</v>
      </c>
      <c r="E525" s="5" t="s">
        <v>117</v>
      </c>
      <c r="F525" s="69">
        <v>150</v>
      </c>
      <c r="G525" s="69">
        <v>0</v>
      </c>
      <c r="H525" s="69">
        <v>0</v>
      </c>
    </row>
    <row r="526" spans="1:8" ht="12.75">
      <c r="A526" s="67" t="s">
        <v>14</v>
      </c>
      <c r="B526" s="67" t="s">
        <v>330</v>
      </c>
      <c r="C526" s="67" t="s">
        <v>93</v>
      </c>
      <c r="D526" s="67" t="s">
        <v>93</v>
      </c>
      <c r="E526" s="68" t="s">
        <v>331</v>
      </c>
      <c r="F526" s="69">
        <f>F527+F542</f>
        <v>11940.2</v>
      </c>
      <c r="G526" s="69">
        <f aca="true" t="shared" si="245" ref="G526:H534">G527</f>
        <v>8282.4</v>
      </c>
      <c r="H526" s="69">
        <f t="shared" si="245"/>
        <v>8282.4</v>
      </c>
    </row>
    <row r="527" spans="1:8" ht="49.5">
      <c r="A527" s="67" t="s">
        <v>14</v>
      </c>
      <c r="B527" s="67" t="s">
        <v>330</v>
      </c>
      <c r="C527" s="67" t="s">
        <v>280</v>
      </c>
      <c r="D527" s="67" t="s">
        <v>93</v>
      </c>
      <c r="E527" s="68" t="s">
        <v>399</v>
      </c>
      <c r="F527" s="69">
        <f>F528</f>
        <v>11828.6</v>
      </c>
      <c r="G527" s="69">
        <f t="shared" si="245"/>
        <v>8282.4</v>
      </c>
      <c r="H527" s="69">
        <f t="shared" si="245"/>
        <v>8282.4</v>
      </c>
    </row>
    <row r="528" spans="1:8" ht="49.5">
      <c r="A528" s="67" t="s">
        <v>14</v>
      </c>
      <c r="B528" s="67" t="s">
        <v>330</v>
      </c>
      <c r="C528" s="67" t="s">
        <v>281</v>
      </c>
      <c r="D528" s="67" t="s">
        <v>93</v>
      </c>
      <c r="E528" s="68" t="s">
        <v>114</v>
      </c>
      <c r="F528" s="69">
        <f>F529</f>
        <v>11828.6</v>
      </c>
      <c r="G528" s="69">
        <f t="shared" si="245"/>
        <v>8282.4</v>
      </c>
      <c r="H528" s="69">
        <f t="shared" si="245"/>
        <v>8282.4</v>
      </c>
    </row>
    <row r="529" spans="1:8" ht="49.5">
      <c r="A529" s="6" t="s">
        <v>14</v>
      </c>
      <c r="B529" s="67" t="s">
        <v>330</v>
      </c>
      <c r="C529" s="6" t="s">
        <v>502</v>
      </c>
      <c r="D529" s="180"/>
      <c r="E529" s="5" t="s">
        <v>503</v>
      </c>
      <c r="F529" s="69">
        <f>F534+F538+F530+F532+F540+F536</f>
        <v>11828.6</v>
      </c>
      <c r="G529" s="69">
        <f aca="true" t="shared" si="246" ref="G529:H529">G534+G538+G530+G532+G540+G536</f>
        <v>8282.4</v>
      </c>
      <c r="H529" s="69">
        <f t="shared" si="246"/>
        <v>8282.4</v>
      </c>
    </row>
    <row r="530" spans="1:8" ht="66">
      <c r="A530" s="6" t="s">
        <v>14</v>
      </c>
      <c r="B530" s="67" t="s">
        <v>330</v>
      </c>
      <c r="C530" s="4" t="s">
        <v>621</v>
      </c>
      <c r="D530" s="4"/>
      <c r="E530" s="21" t="s">
        <v>622</v>
      </c>
      <c r="F530" s="69">
        <f>F531</f>
        <v>300</v>
      </c>
      <c r="G530" s="69">
        <f aca="true" t="shared" si="247" ref="G530:H530">G531</f>
        <v>0</v>
      </c>
      <c r="H530" s="69">
        <f t="shared" si="247"/>
        <v>0</v>
      </c>
    </row>
    <row r="531" spans="1:8" ht="33">
      <c r="A531" s="6" t="s">
        <v>14</v>
      </c>
      <c r="B531" s="67" t="s">
        <v>330</v>
      </c>
      <c r="C531" s="4" t="s">
        <v>621</v>
      </c>
      <c r="D531" s="180">
        <v>600</v>
      </c>
      <c r="E531" s="5" t="s">
        <v>117</v>
      </c>
      <c r="F531" s="69">
        <v>300</v>
      </c>
      <c r="G531" s="69">
        <v>0</v>
      </c>
      <c r="H531" s="69">
        <v>0</v>
      </c>
    </row>
    <row r="532" spans="1:8" ht="66">
      <c r="A532" s="6" t="s">
        <v>14</v>
      </c>
      <c r="B532" s="67" t="s">
        <v>330</v>
      </c>
      <c r="C532" s="4" t="s">
        <v>632</v>
      </c>
      <c r="D532" s="180"/>
      <c r="E532" s="68" t="s">
        <v>639</v>
      </c>
      <c r="F532" s="69">
        <f>F533</f>
        <v>2760.1</v>
      </c>
      <c r="G532" s="69">
        <f aca="true" t="shared" si="248" ref="G532:H532">G533</f>
        <v>0</v>
      </c>
      <c r="H532" s="69">
        <f t="shared" si="248"/>
        <v>0</v>
      </c>
    </row>
    <row r="533" spans="1:8" ht="33">
      <c r="A533" s="6" t="s">
        <v>14</v>
      </c>
      <c r="B533" s="67" t="s">
        <v>330</v>
      </c>
      <c r="C533" s="4" t="s">
        <v>632</v>
      </c>
      <c r="D533" s="180">
        <v>600</v>
      </c>
      <c r="E533" s="5" t="s">
        <v>117</v>
      </c>
      <c r="F533" s="69">
        <f>2629.4+130.7</f>
        <v>2760.1</v>
      </c>
      <c r="G533" s="69">
        <v>0</v>
      </c>
      <c r="H533" s="69">
        <v>0</v>
      </c>
    </row>
    <row r="534" spans="1:8" ht="49.5">
      <c r="A534" s="6" t="s">
        <v>14</v>
      </c>
      <c r="B534" s="67" t="s">
        <v>330</v>
      </c>
      <c r="C534" s="4" t="s">
        <v>300</v>
      </c>
      <c r="D534" s="4"/>
      <c r="E534" s="21" t="s">
        <v>120</v>
      </c>
      <c r="F534" s="69">
        <f>F535</f>
        <v>8144.9</v>
      </c>
      <c r="G534" s="69">
        <f t="shared" si="245"/>
        <v>8282.4</v>
      </c>
      <c r="H534" s="69">
        <f t="shared" si="245"/>
        <v>8282.4</v>
      </c>
    </row>
    <row r="535" spans="1:8" ht="33">
      <c r="A535" s="6" t="s">
        <v>14</v>
      </c>
      <c r="B535" s="67" t="s">
        <v>330</v>
      </c>
      <c r="C535" s="4" t="s">
        <v>300</v>
      </c>
      <c r="D535" s="180">
        <v>600</v>
      </c>
      <c r="E535" s="5" t="s">
        <v>117</v>
      </c>
      <c r="F535" s="69">
        <f>8282.4-142.2+4.7</f>
        <v>8144.9</v>
      </c>
      <c r="G535" s="69">
        <v>8282.4</v>
      </c>
      <c r="H535" s="69">
        <v>8282.4</v>
      </c>
    </row>
    <row r="536" spans="1:8" ht="49.5">
      <c r="A536" s="6" t="s">
        <v>14</v>
      </c>
      <c r="B536" s="67" t="s">
        <v>330</v>
      </c>
      <c r="C536" s="4" t="s">
        <v>712</v>
      </c>
      <c r="D536" s="180"/>
      <c r="E536" s="5" t="s">
        <v>713</v>
      </c>
      <c r="F536" s="69">
        <f>F537</f>
        <v>448</v>
      </c>
      <c r="G536" s="69">
        <f aca="true" t="shared" si="249" ref="G536:H536">G537</f>
        <v>0</v>
      </c>
      <c r="H536" s="69">
        <f t="shared" si="249"/>
        <v>0</v>
      </c>
    </row>
    <row r="537" spans="1:8" ht="33">
      <c r="A537" s="6" t="s">
        <v>14</v>
      </c>
      <c r="B537" s="67" t="s">
        <v>330</v>
      </c>
      <c r="C537" s="4" t="s">
        <v>712</v>
      </c>
      <c r="D537" s="180">
        <v>600</v>
      </c>
      <c r="E537" s="5" t="s">
        <v>117</v>
      </c>
      <c r="F537" s="69">
        <v>448</v>
      </c>
      <c r="G537" s="69">
        <v>0</v>
      </c>
      <c r="H537" s="69">
        <v>0</v>
      </c>
    </row>
    <row r="538" spans="1:8" ht="66">
      <c r="A538" s="6" t="s">
        <v>14</v>
      </c>
      <c r="B538" s="67" t="s">
        <v>330</v>
      </c>
      <c r="C538" s="4" t="s">
        <v>547</v>
      </c>
      <c r="D538" s="4"/>
      <c r="E538" s="21" t="s">
        <v>548</v>
      </c>
      <c r="F538" s="69">
        <f>F539</f>
        <v>33.4</v>
      </c>
      <c r="G538" s="69">
        <f aca="true" t="shared" si="250" ref="G538:H538">G539</f>
        <v>0</v>
      </c>
      <c r="H538" s="69">
        <f t="shared" si="250"/>
        <v>0</v>
      </c>
    </row>
    <row r="539" spans="1:8" ht="33">
      <c r="A539" s="6" t="s">
        <v>14</v>
      </c>
      <c r="B539" s="67" t="s">
        <v>330</v>
      </c>
      <c r="C539" s="4" t="s">
        <v>547</v>
      </c>
      <c r="D539" s="180">
        <v>600</v>
      </c>
      <c r="E539" s="5" t="s">
        <v>117</v>
      </c>
      <c r="F539" s="69">
        <v>33.4</v>
      </c>
      <c r="G539" s="69">
        <v>0</v>
      </c>
      <c r="H539" s="69">
        <v>0</v>
      </c>
    </row>
    <row r="540" spans="1:8" ht="66">
      <c r="A540" s="6" t="s">
        <v>14</v>
      </c>
      <c r="B540" s="67" t="s">
        <v>330</v>
      </c>
      <c r="C540" s="4" t="s">
        <v>631</v>
      </c>
      <c r="D540" s="180"/>
      <c r="E540" s="5" t="s">
        <v>649</v>
      </c>
      <c r="F540" s="69">
        <f>F541</f>
        <v>142.2</v>
      </c>
      <c r="G540" s="69">
        <f aca="true" t="shared" si="251" ref="G540:H540">G541</f>
        <v>0</v>
      </c>
      <c r="H540" s="69">
        <f t="shared" si="251"/>
        <v>0</v>
      </c>
    </row>
    <row r="541" spans="1:8" ht="33">
      <c r="A541" s="6" t="s">
        <v>14</v>
      </c>
      <c r="B541" s="67" t="s">
        <v>330</v>
      </c>
      <c r="C541" s="4" t="s">
        <v>631</v>
      </c>
      <c r="D541" s="180">
        <v>600</v>
      </c>
      <c r="E541" s="5" t="s">
        <v>117</v>
      </c>
      <c r="F541" s="69">
        <v>142.2</v>
      </c>
      <c r="G541" s="69">
        <v>0</v>
      </c>
      <c r="H541" s="69">
        <v>0</v>
      </c>
    </row>
    <row r="542" spans="1:8" ht="33">
      <c r="A542" s="67" t="s">
        <v>14</v>
      </c>
      <c r="B542" s="67" t="s">
        <v>330</v>
      </c>
      <c r="C542" s="31">
        <v>9900000000</v>
      </c>
      <c r="D542" s="89"/>
      <c r="E542" s="32" t="s">
        <v>506</v>
      </c>
      <c r="F542" s="69">
        <f>F543</f>
        <v>111.6</v>
      </c>
      <c r="G542" s="69">
        <f aca="true" t="shared" si="252" ref="G542:H544">G543</f>
        <v>0</v>
      </c>
      <c r="H542" s="69">
        <f t="shared" si="252"/>
        <v>0</v>
      </c>
    </row>
    <row r="543" spans="1:8" ht="49.5">
      <c r="A543" s="67" t="s">
        <v>14</v>
      </c>
      <c r="B543" s="67" t="s">
        <v>330</v>
      </c>
      <c r="C543" s="31">
        <v>9950000000</v>
      </c>
      <c r="D543" s="87"/>
      <c r="E543" s="5" t="s">
        <v>625</v>
      </c>
      <c r="F543" s="69">
        <f>F544</f>
        <v>111.6</v>
      </c>
      <c r="G543" s="69">
        <f t="shared" si="252"/>
        <v>0</v>
      </c>
      <c r="H543" s="69">
        <f t="shared" si="252"/>
        <v>0</v>
      </c>
    </row>
    <row r="544" spans="1:8" ht="49.5">
      <c r="A544" s="67" t="s">
        <v>14</v>
      </c>
      <c r="B544" s="67" t="s">
        <v>330</v>
      </c>
      <c r="C544" s="31" t="s">
        <v>626</v>
      </c>
      <c r="D544" s="87"/>
      <c r="E544" s="5" t="s">
        <v>627</v>
      </c>
      <c r="F544" s="69">
        <f>F545</f>
        <v>111.6</v>
      </c>
      <c r="G544" s="69">
        <f t="shared" si="252"/>
        <v>0</v>
      </c>
      <c r="H544" s="69">
        <f t="shared" si="252"/>
        <v>0</v>
      </c>
    </row>
    <row r="545" spans="1:8" ht="33">
      <c r="A545" s="67" t="s">
        <v>14</v>
      </c>
      <c r="B545" s="67" t="s">
        <v>330</v>
      </c>
      <c r="C545" s="31" t="s">
        <v>626</v>
      </c>
      <c r="D545" s="180">
        <v>600</v>
      </c>
      <c r="E545" s="5" t="s">
        <v>117</v>
      </c>
      <c r="F545" s="69">
        <v>111.6</v>
      </c>
      <c r="G545" s="69">
        <v>0</v>
      </c>
      <c r="H545" s="69">
        <v>0</v>
      </c>
    </row>
    <row r="546" spans="1:8" ht="12.75">
      <c r="A546" s="67" t="s">
        <v>14</v>
      </c>
      <c r="B546" s="67" t="s">
        <v>63</v>
      </c>
      <c r="C546" s="67" t="s">
        <v>93</v>
      </c>
      <c r="D546" s="67" t="s">
        <v>93</v>
      </c>
      <c r="E546" s="68" t="s">
        <v>505</v>
      </c>
      <c r="F546" s="69">
        <f>F547</f>
        <v>2990.7000000000003</v>
      </c>
      <c r="G546" s="69">
        <f aca="true" t="shared" si="253" ref="G546:H554">G547</f>
        <v>168.7</v>
      </c>
      <c r="H546" s="69">
        <f t="shared" si="253"/>
        <v>0</v>
      </c>
    </row>
    <row r="547" spans="1:8" ht="49.5">
      <c r="A547" s="67" t="s">
        <v>14</v>
      </c>
      <c r="B547" s="67" t="s">
        <v>63</v>
      </c>
      <c r="C547" s="67" t="s">
        <v>280</v>
      </c>
      <c r="D547" s="67" t="s">
        <v>93</v>
      </c>
      <c r="E547" s="68" t="s">
        <v>399</v>
      </c>
      <c r="F547" s="69">
        <f>F548</f>
        <v>2990.7000000000003</v>
      </c>
      <c r="G547" s="69">
        <f t="shared" si="253"/>
        <v>168.7</v>
      </c>
      <c r="H547" s="69">
        <f t="shared" si="253"/>
        <v>0</v>
      </c>
    </row>
    <row r="548" spans="1:8" ht="49.5">
      <c r="A548" s="67" t="s">
        <v>14</v>
      </c>
      <c r="B548" s="67" t="s">
        <v>63</v>
      </c>
      <c r="C548" s="67" t="s">
        <v>281</v>
      </c>
      <c r="D548" s="67" t="s">
        <v>93</v>
      </c>
      <c r="E548" s="68" t="s">
        <v>114</v>
      </c>
      <c r="F548" s="69">
        <f>F549</f>
        <v>2990.7000000000003</v>
      </c>
      <c r="G548" s="69">
        <f t="shared" si="253"/>
        <v>168.7</v>
      </c>
      <c r="H548" s="69">
        <f t="shared" si="253"/>
        <v>0</v>
      </c>
    </row>
    <row r="549" spans="1:8" ht="49.5">
      <c r="A549" s="67" t="s">
        <v>14</v>
      </c>
      <c r="B549" s="67" t="s">
        <v>63</v>
      </c>
      <c r="C549" s="67" t="s">
        <v>489</v>
      </c>
      <c r="D549" s="231" t="s">
        <v>93</v>
      </c>
      <c r="E549" s="68" t="s">
        <v>490</v>
      </c>
      <c r="F549" s="69">
        <f>F554+F550+F552</f>
        <v>2990.7000000000003</v>
      </c>
      <c r="G549" s="69">
        <f aca="true" t="shared" si="254" ref="G549:H549">G554+G550+G552</f>
        <v>168.7</v>
      </c>
      <c r="H549" s="69">
        <f t="shared" si="254"/>
        <v>0</v>
      </c>
    </row>
    <row r="550" spans="1:8" ht="49.5">
      <c r="A550" s="6" t="s">
        <v>14</v>
      </c>
      <c r="B550" s="6" t="s">
        <v>63</v>
      </c>
      <c r="C550" s="6" t="s">
        <v>583</v>
      </c>
      <c r="D550" s="180"/>
      <c r="E550" s="5" t="s">
        <v>584</v>
      </c>
      <c r="F550" s="69">
        <f>F551</f>
        <v>53.400000000000006</v>
      </c>
      <c r="G550" s="69">
        <f aca="true" t="shared" si="255" ref="G550:H550">G551</f>
        <v>0</v>
      </c>
      <c r="H550" s="69">
        <f t="shared" si="255"/>
        <v>0</v>
      </c>
    </row>
    <row r="551" spans="1:8" ht="12.75">
      <c r="A551" s="6" t="s">
        <v>14</v>
      </c>
      <c r="B551" s="6" t="s">
        <v>63</v>
      </c>
      <c r="C551" s="6" t="s">
        <v>583</v>
      </c>
      <c r="D551" s="180" t="s">
        <v>100</v>
      </c>
      <c r="E551" s="5" t="s">
        <v>101</v>
      </c>
      <c r="F551" s="69">
        <f>90.7-37.3</f>
        <v>53.400000000000006</v>
      </c>
      <c r="G551" s="69">
        <v>0</v>
      </c>
      <c r="H551" s="69">
        <v>0</v>
      </c>
    </row>
    <row r="552" spans="1:8" ht="33">
      <c r="A552" s="6" t="s">
        <v>14</v>
      </c>
      <c r="B552" s="6" t="s">
        <v>63</v>
      </c>
      <c r="C552" s="6" t="s">
        <v>582</v>
      </c>
      <c r="D552" s="180"/>
      <c r="E552" s="5" t="s">
        <v>585</v>
      </c>
      <c r="F552" s="69">
        <f>F553</f>
        <v>2776.4</v>
      </c>
      <c r="G552" s="69">
        <f aca="true" t="shared" si="256" ref="G552:H552">G553</f>
        <v>0</v>
      </c>
      <c r="H552" s="69">
        <f t="shared" si="256"/>
        <v>0</v>
      </c>
    </row>
    <row r="553" spans="1:8" ht="33">
      <c r="A553" s="6" t="s">
        <v>14</v>
      </c>
      <c r="B553" s="6" t="s">
        <v>63</v>
      </c>
      <c r="C553" s="6" t="s">
        <v>582</v>
      </c>
      <c r="D553" s="180">
        <v>600</v>
      </c>
      <c r="E553" s="5" t="s">
        <v>117</v>
      </c>
      <c r="F553" s="69">
        <f>2739.1+37.3</f>
        <v>2776.4</v>
      </c>
      <c r="G553" s="69">
        <v>0</v>
      </c>
      <c r="H553" s="69">
        <v>0</v>
      </c>
    </row>
    <row r="554" spans="1:8" ht="33">
      <c r="A554" s="67" t="s">
        <v>14</v>
      </c>
      <c r="B554" s="67" t="s">
        <v>63</v>
      </c>
      <c r="C554" s="67" t="s">
        <v>492</v>
      </c>
      <c r="D554" s="67" t="s">
        <v>93</v>
      </c>
      <c r="E554" s="68" t="s">
        <v>195</v>
      </c>
      <c r="F554" s="69">
        <f>F555</f>
        <v>160.9</v>
      </c>
      <c r="G554" s="69">
        <f t="shared" si="253"/>
        <v>168.7</v>
      </c>
      <c r="H554" s="69">
        <f t="shared" si="253"/>
        <v>0</v>
      </c>
    </row>
    <row r="555" spans="1:8" ht="12.75">
      <c r="A555" s="67" t="s">
        <v>14</v>
      </c>
      <c r="B555" s="67" t="s">
        <v>63</v>
      </c>
      <c r="C555" s="67" t="s">
        <v>492</v>
      </c>
      <c r="D555" s="67" t="s">
        <v>100</v>
      </c>
      <c r="E555" s="68" t="s">
        <v>101</v>
      </c>
      <c r="F555" s="69">
        <f>163-2.1</f>
        <v>160.9</v>
      </c>
      <c r="G555" s="69">
        <v>168.7</v>
      </c>
      <c r="H555" s="69">
        <v>0</v>
      </c>
    </row>
    <row r="556" spans="1:8" ht="12.75">
      <c r="A556" s="67" t="s">
        <v>14</v>
      </c>
      <c r="B556" s="67" t="s">
        <v>79</v>
      </c>
      <c r="C556" s="67" t="s">
        <v>93</v>
      </c>
      <c r="D556" s="67" t="s">
        <v>93</v>
      </c>
      <c r="E556" s="68" t="s">
        <v>17</v>
      </c>
      <c r="F556" s="69">
        <f>F557</f>
        <v>14004.699999999997</v>
      </c>
      <c r="G556" s="69">
        <f aca="true" t="shared" si="257" ref="G556:H558">G557</f>
        <v>13928.199999999999</v>
      </c>
      <c r="H556" s="69">
        <f t="shared" si="257"/>
        <v>13928.199999999999</v>
      </c>
    </row>
    <row r="557" spans="1:8" ht="49.5">
      <c r="A557" s="67" t="s">
        <v>14</v>
      </c>
      <c r="B557" s="67" t="s">
        <v>79</v>
      </c>
      <c r="C557" s="67" t="s">
        <v>280</v>
      </c>
      <c r="D557" s="67" t="s">
        <v>93</v>
      </c>
      <c r="E557" s="68" t="s">
        <v>399</v>
      </c>
      <c r="F557" s="69">
        <f>F558</f>
        <v>14004.699999999997</v>
      </c>
      <c r="G557" s="69">
        <f t="shared" si="257"/>
        <v>13928.199999999999</v>
      </c>
      <c r="H557" s="69">
        <f t="shared" si="257"/>
        <v>13928.199999999999</v>
      </c>
    </row>
    <row r="558" spans="1:8" ht="12.75">
      <c r="A558" s="67" t="s">
        <v>14</v>
      </c>
      <c r="B558" s="67" t="s">
        <v>79</v>
      </c>
      <c r="C558" s="67" t="s">
        <v>304</v>
      </c>
      <c r="D558" s="67" t="s">
        <v>93</v>
      </c>
      <c r="E558" s="68" t="s">
        <v>2</v>
      </c>
      <c r="F558" s="69">
        <f>F559</f>
        <v>14004.699999999997</v>
      </c>
      <c r="G558" s="69">
        <f t="shared" si="257"/>
        <v>13928.199999999999</v>
      </c>
      <c r="H558" s="69">
        <f t="shared" si="257"/>
        <v>13928.199999999999</v>
      </c>
    </row>
    <row r="559" spans="1:8" ht="33">
      <c r="A559" s="67" t="s">
        <v>14</v>
      </c>
      <c r="B559" s="67" t="s">
        <v>79</v>
      </c>
      <c r="C559" s="67" t="s">
        <v>493</v>
      </c>
      <c r="D559" s="231" t="s">
        <v>93</v>
      </c>
      <c r="E559" s="68" t="s">
        <v>494</v>
      </c>
      <c r="F559" s="69">
        <f>F560+F565+F569</f>
        <v>14004.699999999997</v>
      </c>
      <c r="G559" s="69">
        <f aca="true" t="shared" si="258" ref="G559:H559">G560+G565+G569</f>
        <v>13928.199999999999</v>
      </c>
      <c r="H559" s="69">
        <f t="shared" si="258"/>
        <v>13928.199999999999</v>
      </c>
    </row>
    <row r="560" spans="1:8" ht="49.5">
      <c r="A560" s="67" t="s">
        <v>14</v>
      </c>
      <c r="B560" s="67" t="s">
        <v>79</v>
      </c>
      <c r="C560" s="67" t="s">
        <v>306</v>
      </c>
      <c r="D560" s="67" t="s">
        <v>93</v>
      </c>
      <c r="E560" s="68" t="s">
        <v>124</v>
      </c>
      <c r="F560" s="69">
        <f>F561+F562+F564+F563</f>
        <v>8499.899999999998</v>
      </c>
      <c r="G560" s="69">
        <f aca="true" t="shared" si="259" ref="G560:H560">G561+G562+G564+G563</f>
        <v>8749.4</v>
      </c>
      <c r="H560" s="69">
        <f t="shared" si="259"/>
        <v>8749.4</v>
      </c>
    </row>
    <row r="561" spans="1:8" ht="82.5">
      <c r="A561" s="67" t="s">
        <v>14</v>
      </c>
      <c r="B561" s="67" t="s">
        <v>79</v>
      </c>
      <c r="C561" s="67" t="s">
        <v>306</v>
      </c>
      <c r="D561" s="67" t="s">
        <v>95</v>
      </c>
      <c r="E561" s="68" t="s">
        <v>3</v>
      </c>
      <c r="F561" s="69">
        <f>6262.2+156.7</f>
        <v>6418.9</v>
      </c>
      <c r="G561" s="69">
        <v>6262.2</v>
      </c>
      <c r="H561" s="69">
        <v>6262.2</v>
      </c>
    </row>
    <row r="562" spans="1:8" ht="33">
      <c r="A562" s="67" t="s">
        <v>14</v>
      </c>
      <c r="B562" s="67" t="s">
        <v>79</v>
      </c>
      <c r="C562" s="67" t="s">
        <v>306</v>
      </c>
      <c r="D562" s="67" t="s">
        <v>96</v>
      </c>
      <c r="E562" s="68" t="s">
        <v>342</v>
      </c>
      <c r="F562" s="69">
        <f>2293.4-111.3-9.1-75.5-156.7</f>
        <v>1940.8</v>
      </c>
      <c r="G562" s="69">
        <v>2293.4</v>
      </c>
      <c r="H562" s="69">
        <v>2293.4</v>
      </c>
    </row>
    <row r="563" spans="1:8" ht="12.75">
      <c r="A563" s="67" t="s">
        <v>14</v>
      </c>
      <c r="B563" s="67" t="s">
        <v>79</v>
      </c>
      <c r="C563" s="67" t="s">
        <v>306</v>
      </c>
      <c r="D563" s="67" t="s">
        <v>100</v>
      </c>
      <c r="E563" s="68" t="s">
        <v>101</v>
      </c>
      <c r="F563" s="69">
        <v>111.3</v>
      </c>
      <c r="G563" s="69">
        <v>0</v>
      </c>
      <c r="H563" s="69">
        <v>0</v>
      </c>
    </row>
    <row r="564" spans="1:8" ht="12.75">
      <c r="A564" s="67" t="s">
        <v>14</v>
      </c>
      <c r="B564" s="67" t="s">
        <v>79</v>
      </c>
      <c r="C564" s="67" t="s">
        <v>306</v>
      </c>
      <c r="D564" s="67" t="s">
        <v>97</v>
      </c>
      <c r="E564" s="68" t="s">
        <v>98</v>
      </c>
      <c r="F564" s="69">
        <f>193.8-115-49.9</f>
        <v>28.900000000000013</v>
      </c>
      <c r="G564" s="69">
        <v>193.8</v>
      </c>
      <c r="H564" s="69">
        <v>193.8</v>
      </c>
    </row>
    <row r="565" spans="1:8" ht="49.5">
      <c r="A565" s="67" t="s">
        <v>14</v>
      </c>
      <c r="B565" s="67" t="s">
        <v>79</v>
      </c>
      <c r="C565" s="67" t="s">
        <v>307</v>
      </c>
      <c r="D565" s="67" t="s">
        <v>93</v>
      </c>
      <c r="E565" s="68" t="s">
        <v>125</v>
      </c>
      <c r="F565" s="69">
        <f>F566+F567+F568</f>
        <v>3522.9</v>
      </c>
      <c r="G565" s="69">
        <f aca="true" t="shared" si="260" ref="G565:H565">G566+G567+G568</f>
        <v>3348.9</v>
      </c>
      <c r="H565" s="69">
        <f t="shared" si="260"/>
        <v>3348.9</v>
      </c>
    </row>
    <row r="566" spans="1:8" ht="82.5">
      <c r="A566" s="67" t="s">
        <v>14</v>
      </c>
      <c r="B566" s="67" t="s">
        <v>79</v>
      </c>
      <c r="C566" s="67" t="s">
        <v>307</v>
      </c>
      <c r="D566" s="67" t="s">
        <v>95</v>
      </c>
      <c r="E566" s="68" t="s">
        <v>3</v>
      </c>
      <c r="F566" s="69">
        <v>2756.5</v>
      </c>
      <c r="G566" s="69">
        <v>2756.5</v>
      </c>
      <c r="H566" s="69">
        <v>2756.5</v>
      </c>
    </row>
    <row r="567" spans="1:8" ht="33">
      <c r="A567" s="67" t="s">
        <v>14</v>
      </c>
      <c r="B567" s="67" t="s">
        <v>79</v>
      </c>
      <c r="C567" s="67" t="s">
        <v>307</v>
      </c>
      <c r="D567" s="67" t="s">
        <v>96</v>
      </c>
      <c r="E567" s="68" t="s">
        <v>342</v>
      </c>
      <c r="F567" s="69">
        <f>592.4+174-0.8</f>
        <v>765.6</v>
      </c>
      <c r="G567" s="69">
        <v>592.4</v>
      </c>
      <c r="H567" s="69">
        <v>592.4</v>
      </c>
    </row>
    <row r="568" spans="1:8" ht="12.75">
      <c r="A568" s="67" t="s">
        <v>14</v>
      </c>
      <c r="B568" s="67" t="s">
        <v>79</v>
      </c>
      <c r="C568" s="67" t="s">
        <v>307</v>
      </c>
      <c r="D568" s="67" t="s">
        <v>97</v>
      </c>
      <c r="E568" s="68" t="s">
        <v>98</v>
      </c>
      <c r="F568" s="69">
        <v>0.8</v>
      </c>
      <c r="G568" s="69">
        <v>0</v>
      </c>
      <c r="H568" s="69">
        <v>0</v>
      </c>
    </row>
    <row r="569" spans="1:8" ht="82.5">
      <c r="A569" s="67" t="s">
        <v>14</v>
      </c>
      <c r="B569" s="67" t="s">
        <v>79</v>
      </c>
      <c r="C569" s="67" t="s">
        <v>305</v>
      </c>
      <c r="D569" s="67" t="s">
        <v>93</v>
      </c>
      <c r="E569" s="68" t="s">
        <v>343</v>
      </c>
      <c r="F569" s="69">
        <f>F570</f>
        <v>1981.9</v>
      </c>
      <c r="G569" s="69">
        <f aca="true" t="shared" si="261" ref="G569:H569">G570</f>
        <v>1829.9</v>
      </c>
      <c r="H569" s="69">
        <f t="shared" si="261"/>
        <v>1829.9</v>
      </c>
    </row>
    <row r="570" spans="1:8" ht="82.5">
      <c r="A570" s="67" t="s">
        <v>14</v>
      </c>
      <c r="B570" s="67" t="s">
        <v>79</v>
      </c>
      <c r="C570" s="67" t="s">
        <v>305</v>
      </c>
      <c r="D570" s="67" t="s">
        <v>95</v>
      </c>
      <c r="E570" s="68" t="s">
        <v>3</v>
      </c>
      <c r="F570" s="69">
        <f>1829.9+152</f>
        <v>1981.9</v>
      </c>
      <c r="G570" s="69">
        <v>1829.9</v>
      </c>
      <c r="H570" s="69">
        <v>1829.9</v>
      </c>
    </row>
    <row r="571" spans="1:8" ht="12.75">
      <c r="A571" s="67" t="s">
        <v>14</v>
      </c>
      <c r="B571" s="67" t="s">
        <v>64</v>
      </c>
      <c r="C571" s="67" t="s">
        <v>93</v>
      </c>
      <c r="D571" s="67" t="s">
        <v>93</v>
      </c>
      <c r="E571" s="68" t="s">
        <v>56</v>
      </c>
      <c r="F571" s="69">
        <f>F572</f>
        <v>9069.300000000001</v>
      </c>
      <c r="G571" s="69">
        <f aca="true" t="shared" si="262" ref="G571:H572">G572</f>
        <v>9069.300000000001</v>
      </c>
      <c r="H571" s="69">
        <f t="shared" si="262"/>
        <v>9069.300000000001</v>
      </c>
    </row>
    <row r="572" spans="1:8" ht="12.75">
      <c r="A572" s="67" t="s">
        <v>14</v>
      </c>
      <c r="B572" s="67" t="s">
        <v>126</v>
      </c>
      <c r="C572" s="67" t="s">
        <v>93</v>
      </c>
      <c r="D572" s="67" t="s">
        <v>93</v>
      </c>
      <c r="E572" s="68" t="s">
        <v>127</v>
      </c>
      <c r="F572" s="69">
        <f>F573</f>
        <v>9069.300000000001</v>
      </c>
      <c r="G572" s="69">
        <f t="shared" si="262"/>
        <v>9069.300000000001</v>
      </c>
      <c r="H572" s="69">
        <f t="shared" si="262"/>
        <v>9069.300000000001</v>
      </c>
    </row>
    <row r="573" spans="1:8" ht="49.5">
      <c r="A573" s="67" t="s">
        <v>14</v>
      </c>
      <c r="B573" s="67" t="s">
        <v>126</v>
      </c>
      <c r="C573" s="67" t="s">
        <v>280</v>
      </c>
      <c r="D573" s="67" t="s">
        <v>93</v>
      </c>
      <c r="E573" s="68" t="s">
        <v>399</v>
      </c>
      <c r="F573" s="69">
        <f>F574</f>
        <v>9069.300000000001</v>
      </c>
      <c r="G573" s="69">
        <f aca="true" t="shared" si="263" ref="G573:H575">G574</f>
        <v>9069.300000000001</v>
      </c>
      <c r="H573" s="69">
        <f t="shared" si="263"/>
        <v>9069.300000000001</v>
      </c>
    </row>
    <row r="574" spans="1:8" ht="49.5">
      <c r="A574" s="67" t="s">
        <v>14</v>
      </c>
      <c r="B574" s="67" t="s">
        <v>126</v>
      </c>
      <c r="C574" s="67" t="s">
        <v>281</v>
      </c>
      <c r="D574" s="67" t="s">
        <v>93</v>
      </c>
      <c r="E574" s="68" t="s">
        <v>114</v>
      </c>
      <c r="F574" s="69">
        <f>F575</f>
        <v>9069.300000000001</v>
      </c>
      <c r="G574" s="69">
        <f t="shared" si="263"/>
        <v>9069.300000000001</v>
      </c>
      <c r="H574" s="69">
        <f t="shared" si="263"/>
        <v>9069.300000000001</v>
      </c>
    </row>
    <row r="575" spans="1:8" ht="33">
      <c r="A575" s="67" t="s">
        <v>14</v>
      </c>
      <c r="B575" s="67" t="s">
        <v>126</v>
      </c>
      <c r="C575" s="67" t="s">
        <v>486</v>
      </c>
      <c r="D575" s="231" t="s">
        <v>93</v>
      </c>
      <c r="E575" s="68" t="s">
        <v>487</v>
      </c>
      <c r="F575" s="69">
        <f>F576</f>
        <v>9069.300000000001</v>
      </c>
      <c r="G575" s="69">
        <f t="shared" si="263"/>
        <v>9069.300000000001</v>
      </c>
      <c r="H575" s="69">
        <f t="shared" si="263"/>
        <v>9069.300000000001</v>
      </c>
    </row>
    <row r="576" spans="1:8" ht="82.5">
      <c r="A576" s="67" t="s">
        <v>14</v>
      </c>
      <c r="B576" s="67" t="s">
        <v>126</v>
      </c>
      <c r="C576" s="67" t="s">
        <v>308</v>
      </c>
      <c r="D576" s="67" t="s">
        <v>93</v>
      </c>
      <c r="E576" s="68" t="s">
        <v>128</v>
      </c>
      <c r="F576" s="69">
        <f>F577+F578</f>
        <v>9069.300000000001</v>
      </c>
      <c r="G576" s="69">
        <f aca="true" t="shared" si="264" ref="G576:H576">G577+G578</f>
        <v>9069.300000000001</v>
      </c>
      <c r="H576" s="69">
        <f t="shared" si="264"/>
        <v>9069.300000000001</v>
      </c>
    </row>
    <row r="577" spans="1:8" ht="33">
      <c r="A577" s="67" t="s">
        <v>14</v>
      </c>
      <c r="B577" s="67" t="s">
        <v>126</v>
      </c>
      <c r="C577" s="67" t="s">
        <v>308</v>
      </c>
      <c r="D577" s="67" t="s">
        <v>96</v>
      </c>
      <c r="E577" s="68" t="s">
        <v>342</v>
      </c>
      <c r="F577" s="69">
        <f>264.2-14.2</f>
        <v>250</v>
      </c>
      <c r="G577" s="69">
        <v>264.2</v>
      </c>
      <c r="H577" s="69">
        <v>264.2</v>
      </c>
    </row>
    <row r="578" spans="1:8" ht="12.75">
      <c r="A578" s="67" t="s">
        <v>14</v>
      </c>
      <c r="B578" s="67" t="s">
        <v>126</v>
      </c>
      <c r="C578" s="67" t="s">
        <v>308</v>
      </c>
      <c r="D578" s="67" t="s">
        <v>100</v>
      </c>
      <c r="E578" s="68" t="s">
        <v>101</v>
      </c>
      <c r="F578" s="69">
        <f>8805.1+14.2</f>
        <v>8819.300000000001</v>
      </c>
      <c r="G578" s="69">
        <v>8805.1</v>
      </c>
      <c r="H578" s="69">
        <v>8805.1</v>
      </c>
    </row>
    <row r="579" spans="1:8" ht="12.75">
      <c r="A579" s="233"/>
      <c r="B579" s="234"/>
      <c r="C579" s="233"/>
      <c r="D579" s="233"/>
      <c r="E579" s="235"/>
      <c r="F579" s="233"/>
      <c r="G579" s="233"/>
      <c r="H579" s="233"/>
    </row>
  </sheetData>
  <mergeCells count="10">
    <mergeCell ref="B1:H1"/>
    <mergeCell ref="A2:H2"/>
    <mergeCell ref="A3:A5"/>
    <mergeCell ref="B3:B5"/>
    <mergeCell ref="C3:C5"/>
    <mergeCell ref="D3:D5"/>
    <mergeCell ref="E3:E5"/>
    <mergeCell ref="F3:H3"/>
    <mergeCell ref="F4:F5"/>
    <mergeCell ref="G4:H4"/>
  </mergeCells>
  <printOptions/>
  <pageMargins left="0.5905511811023623" right="0.1968503937007874" top="0.1968503937007874" bottom="0.1968503937007874" header="0.31496062992125984" footer="0.31496062992125984"/>
  <pageSetup fitToHeight="0"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dimension ref="A1:G486"/>
  <sheetViews>
    <sheetView zoomScale="95" zoomScaleNormal="95" workbookViewId="0" topLeftCell="A466">
      <selection activeCell="D282" sqref="D282"/>
    </sheetView>
  </sheetViews>
  <sheetFormatPr defaultColWidth="8.875" defaultRowHeight="12.75"/>
  <cols>
    <col min="1" max="1" width="7.75390625" style="74" customWidth="1"/>
    <col min="2" max="2" width="15.00390625" style="73" customWidth="1"/>
    <col min="3" max="3" width="5.625" style="73" customWidth="1"/>
    <col min="4" max="4" width="59.25390625" style="73" customWidth="1"/>
    <col min="5" max="5" width="11.25390625" style="74" customWidth="1"/>
    <col min="6" max="6" width="11.625" style="74" customWidth="1"/>
    <col min="7" max="7" width="11.75390625" style="74" customWidth="1"/>
    <col min="8" max="16384" width="8.875" style="72" customWidth="1"/>
  </cols>
  <sheetData>
    <row r="1" spans="1:7" ht="51.75" customHeight="1">
      <c r="A1" s="210" t="s">
        <v>997</v>
      </c>
      <c r="B1" s="210"/>
      <c r="C1" s="210"/>
      <c r="D1" s="210"/>
      <c r="E1" s="210"/>
      <c r="F1" s="210"/>
      <c r="G1" s="210"/>
    </row>
    <row r="2" spans="1:7" ht="75.6" customHeight="1">
      <c r="A2" s="208" t="s">
        <v>615</v>
      </c>
      <c r="B2" s="208"/>
      <c r="C2" s="208"/>
      <c r="D2" s="208"/>
      <c r="E2" s="208"/>
      <c r="F2" s="208"/>
      <c r="G2" s="208"/>
    </row>
    <row r="3" spans="1:7" ht="16.5" customHeight="1">
      <c r="A3" s="209" t="s">
        <v>61</v>
      </c>
      <c r="B3" s="209" t="s">
        <v>22</v>
      </c>
      <c r="C3" s="209" t="s">
        <v>23</v>
      </c>
      <c r="D3" s="209" t="s">
        <v>24</v>
      </c>
      <c r="E3" s="209" t="s">
        <v>311</v>
      </c>
      <c r="F3" s="209"/>
      <c r="G3" s="209"/>
    </row>
    <row r="4" spans="1:7" ht="16.5" customHeight="1">
      <c r="A4" s="209" t="s">
        <v>93</v>
      </c>
      <c r="B4" s="209" t="s">
        <v>93</v>
      </c>
      <c r="C4" s="209" t="s">
        <v>93</v>
      </c>
      <c r="D4" s="209" t="s">
        <v>93</v>
      </c>
      <c r="E4" s="209" t="s">
        <v>318</v>
      </c>
      <c r="F4" s="209" t="s">
        <v>328</v>
      </c>
      <c r="G4" s="209"/>
    </row>
    <row r="5" spans="1:7" ht="12.75">
      <c r="A5" s="209" t="s">
        <v>93</v>
      </c>
      <c r="B5" s="209" t="s">
        <v>93</v>
      </c>
      <c r="C5" s="209" t="s">
        <v>93</v>
      </c>
      <c r="D5" s="209" t="s">
        <v>93</v>
      </c>
      <c r="E5" s="209" t="s">
        <v>93</v>
      </c>
      <c r="F5" s="172" t="s">
        <v>319</v>
      </c>
      <c r="G5" s="172" t="s">
        <v>320</v>
      </c>
    </row>
    <row r="6" spans="1:7" ht="12.75">
      <c r="A6" s="172" t="s">
        <v>6</v>
      </c>
      <c r="B6" s="172" t="s">
        <v>104</v>
      </c>
      <c r="C6" s="172" t="s">
        <v>105</v>
      </c>
      <c r="D6" s="172" t="s">
        <v>106</v>
      </c>
      <c r="E6" s="172" t="s">
        <v>107</v>
      </c>
      <c r="F6" s="172" t="s">
        <v>108</v>
      </c>
      <c r="G6" s="172" t="s">
        <v>337</v>
      </c>
    </row>
    <row r="7" spans="1:7" ht="12.75">
      <c r="A7" s="60" t="s">
        <v>93</v>
      </c>
      <c r="B7" s="60" t="s">
        <v>93</v>
      </c>
      <c r="C7" s="60" t="s">
        <v>93</v>
      </c>
      <c r="D7" s="61" t="s">
        <v>1</v>
      </c>
      <c r="E7" s="62">
        <f>E8+E104+E122+E181+E226+E367+E412+E446+E469+E481</f>
        <v>756431.4000000001</v>
      </c>
      <c r="F7" s="62">
        <f>F8+F104+F122+F181+F226+F367+F412+F446+F469+F481</f>
        <v>624418.9000000001</v>
      </c>
      <c r="G7" s="62">
        <f>G8+G104+G122+G181+G226+G367+G412+G446+G469+G481</f>
        <v>598970.5</v>
      </c>
    </row>
    <row r="8" spans="1:7" ht="12.75">
      <c r="A8" s="60" t="s">
        <v>81</v>
      </c>
      <c r="B8" s="60" t="s">
        <v>93</v>
      </c>
      <c r="C8" s="60" t="s">
        <v>93</v>
      </c>
      <c r="D8" s="3" t="s">
        <v>26</v>
      </c>
      <c r="E8" s="62">
        <f>E9+E14+E25+E37+E49+E54+E44</f>
        <v>64299.2</v>
      </c>
      <c r="F8" s="62">
        <f aca="true" t="shared" si="0" ref="F8:G8">F9+F14+F25+F37+F49+F54+F44</f>
        <v>61664.2</v>
      </c>
      <c r="G8" s="62">
        <f t="shared" si="0"/>
        <v>61699.4</v>
      </c>
    </row>
    <row r="9" spans="1:7" ht="49.5">
      <c r="A9" s="172" t="s">
        <v>68</v>
      </c>
      <c r="B9" s="172" t="s">
        <v>93</v>
      </c>
      <c r="C9" s="172" t="s">
        <v>93</v>
      </c>
      <c r="D9" s="173" t="s">
        <v>86</v>
      </c>
      <c r="E9" s="64">
        <f>E10</f>
        <v>1589.9</v>
      </c>
      <c r="F9" s="64">
        <f aca="true" t="shared" si="1" ref="F9:G12">F10</f>
        <v>1479</v>
      </c>
      <c r="G9" s="64">
        <f t="shared" si="1"/>
        <v>1479</v>
      </c>
    </row>
    <row r="10" spans="1:7" ht="56.25" customHeight="1">
      <c r="A10" s="172" t="s">
        <v>68</v>
      </c>
      <c r="B10" s="172" t="s">
        <v>200</v>
      </c>
      <c r="C10" s="172" t="s">
        <v>93</v>
      </c>
      <c r="D10" s="173" t="s">
        <v>339</v>
      </c>
      <c r="E10" s="64">
        <f>E11</f>
        <v>1589.9</v>
      </c>
      <c r="F10" s="64">
        <f t="shared" si="1"/>
        <v>1479</v>
      </c>
      <c r="G10" s="64">
        <f t="shared" si="1"/>
        <v>1479</v>
      </c>
    </row>
    <row r="11" spans="1:7" ht="12.75">
      <c r="A11" s="172" t="s">
        <v>68</v>
      </c>
      <c r="B11" s="172" t="s">
        <v>201</v>
      </c>
      <c r="C11" s="172" t="s">
        <v>93</v>
      </c>
      <c r="D11" s="173" t="s">
        <v>2</v>
      </c>
      <c r="E11" s="64">
        <f>E12</f>
        <v>1589.9</v>
      </c>
      <c r="F11" s="64">
        <f t="shared" si="1"/>
        <v>1479</v>
      </c>
      <c r="G11" s="64">
        <f t="shared" si="1"/>
        <v>1479</v>
      </c>
    </row>
    <row r="12" spans="1:7" ht="12.75">
      <c r="A12" s="172" t="s">
        <v>68</v>
      </c>
      <c r="B12" s="172" t="s">
        <v>202</v>
      </c>
      <c r="C12" s="172" t="s">
        <v>93</v>
      </c>
      <c r="D12" s="173" t="s">
        <v>43</v>
      </c>
      <c r="E12" s="64">
        <f>E13</f>
        <v>1589.9</v>
      </c>
      <c r="F12" s="64">
        <f t="shared" si="1"/>
        <v>1479</v>
      </c>
      <c r="G12" s="64">
        <f t="shared" si="1"/>
        <v>1479</v>
      </c>
    </row>
    <row r="13" spans="1:7" ht="82.5">
      <c r="A13" s="172" t="s">
        <v>68</v>
      </c>
      <c r="B13" s="172" t="s">
        <v>202</v>
      </c>
      <c r="C13" s="172" t="s">
        <v>95</v>
      </c>
      <c r="D13" s="173" t="s">
        <v>3</v>
      </c>
      <c r="E13" s="64">
        <f>'№4'!F15</f>
        <v>1589.9</v>
      </c>
      <c r="F13" s="64">
        <f>'№4'!G15</f>
        <v>1479</v>
      </c>
      <c r="G13" s="64">
        <f>'№4'!H15</f>
        <v>1479</v>
      </c>
    </row>
    <row r="14" spans="1:7" ht="49.5">
      <c r="A14" s="172" t="s">
        <v>69</v>
      </c>
      <c r="B14" s="172" t="s">
        <v>93</v>
      </c>
      <c r="C14" s="172" t="s">
        <v>93</v>
      </c>
      <c r="D14" s="173" t="s">
        <v>44</v>
      </c>
      <c r="E14" s="64">
        <f>E15</f>
        <v>4059.6</v>
      </c>
      <c r="F14" s="64">
        <f aca="true" t="shared" si="2" ref="F14:G15">F15</f>
        <v>4105.3</v>
      </c>
      <c r="G14" s="64">
        <f t="shared" si="2"/>
        <v>4105.3</v>
      </c>
    </row>
    <row r="15" spans="1:7" ht="12.75">
      <c r="A15" s="172" t="s">
        <v>69</v>
      </c>
      <c r="B15" s="172" t="s">
        <v>312</v>
      </c>
      <c r="C15" s="172" t="s">
        <v>93</v>
      </c>
      <c r="D15" s="173" t="s">
        <v>429</v>
      </c>
      <c r="E15" s="64">
        <f>E16</f>
        <v>4059.6</v>
      </c>
      <c r="F15" s="64">
        <f t="shared" si="2"/>
        <v>4105.3</v>
      </c>
      <c r="G15" s="64">
        <f t="shared" si="2"/>
        <v>4105.3</v>
      </c>
    </row>
    <row r="16" spans="1:7" ht="49.5">
      <c r="A16" s="172" t="s">
        <v>69</v>
      </c>
      <c r="B16" s="172" t="s">
        <v>460</v>
      </c>
      <c r="C16" s="172" t="s">
        <v>93</v>
      </c>
      <c r="D16" s="173" t="s">
        <v>5</v>
      </c>
      <c r="E16" s="64">
        <f>E17+E19+E23</f>
        <v>4059.6</v>
      </c>
      <c r="F16" s="64">
        <f aca="true" t="shared" si="3" ref="F16:G16">F17+F19+F23</f>
        <v>4105.3</v>
      </c>
      <c r="G16" s="64">
        <f t="shared" si="3"/>
        <v>4105.3</v>
      </c>
    </row>
    <row r="17" spans="1:7" ht="12.75">
      <c r="A17" s="172" t="s">
        <v>69</v>
      </c>
      <c r="B17" s="172" t="s">
        <v>273</v>
      </c>
      <c r="C17" s="172" t="s">
        <v>93</v>
      </c>
      <c r="D17" s="173" t="s">
        <v>461</v>
      </c>
      <c r="E17" s="64">
        <f>E18</f>
        <v>1292.5</v>
      </c>
      <c r="F17" s="64">
        <f aca="true" t="shared" si="4" ref="F17:G17">F18</f>
        <v>1208.6</v>
      </c>
      <c r="G17" s="64">
        <f t="shared" si="4"/>
        <v>1208.6</v>
      </c>
    </row>
    <row r="18" spans="1:7" ht="82.5">
      <c r="A18" s="172" t="s">
        <v>69</v>
      </c>
      <c r="B18" s="172" t="s">
        <v>273</v>
      </c>
      <c r="C18" s="172" t="s">
        <v>95</v>
      </c>
      <c r="D18" s="173" t="s">
        <v>3</v>
      </c>
      <c r="E18" s="64">
        <f>'№4'!F371</f>
        <v>1292.5</v>
      </c>
      <c r="F18" s="64">
        <f>'№4'!G371</f>
        <v>1208.6</v>
      </c>
      <c r="G18" s="64">
        <f>'№4'!H371</f>
        <v>1208.6</v>
      </c>
    </row>
    <row r="19" spans="1:7" ht="49.5">
      <c r="A19" s="172" t="s">
        <v>69</v>
      </c>
      <c r="B19" s="172" t="s">
        <v>274</v>
      </c>
      <c r="C19" s="172" t="s">
        <v>93</v>
      </c>
      <c r="D19" s="173" t="s">
        <v>462</v>
      </c>
      <c r="E19" s="64">
        <f>E20+E21+E22</f>
        <v>2767.1</v>
      </c>
      <c r="F19" s="64">
        <f aca="true" t="shared" si="5" ref="F19:G19">F20+F21+F22</f>
        <v>2438.1</v>
      </c>
      <c r="G19" s="64">
        <f t="shared" si="5"/>
        <v>2438.1</v>
      </c>
    </row>
    <row r="20" spans="1:7" ht="82.5">
      <c r="A20" s="172" t="s">
        <v>69</v>
      </c>
      <c r="B20" s="172" t="s">
        <v>274</v>
      </c>
      <c r="C20" s="172" t="s">
        <v>95</v>
      </c>
      <c r="D20" s="173" t="s">
        <v>3</v>
      </c>
      <c r="E20" s="64">
        <f>'№4'!F373</f>
        <v>2192</v>
      </c>
      <c r="F20" s="64">
        <f>'№4'!G373</f>
        <v>2004.4</v>
      </c>
      <c r="G20" s="64">
        <f>'№4'!H373</f>
        <v>2004.4</v>
      </c>
    </row>
    <row r="21" spans="1:7" ht="33">
      <c r="A21" s="172" t="s">
        <v>69</v>
      </c>
      <c r="B21" s="172" t="s">
        <v>274</v>
      </c>
      <c r="C21" s="172" t="s">
        <v>96</v>
      </c>
      <c r="D21" s="173" t="s">
        <v>342</v>
      </c>
      <c r="E21" s="64">
        <f>'№4'!F374</f>
        <v>573.5</v>
      </c>
      <c r="F21" s="64">
        <f>'№4'!G374</f>
        <v>433.7</v>
      </c>
      <c r="G21" s="64">
        <f>'№4'!H374</f>
        <v>433.7</v>
      </c>
    </row>
    <row r="22" spans="1:7" ht="12.75">
      <c r="A22" s="172" t="s">
        <v>69</v>
      </c>
      <c r="B22" s="172" t="s">
        <v>274</v>
      </c>
      <c r="C22" s="172" t="s">
        <v>97</v>
      </c>
      <c r="D22" s="173" t="s">
        <v>98</v>
      </c>
      <c r="E22" s="64">
        <f>'№4'!F375</f>
        <v>1.6</v>
      </c>
      <c r="F22" s="64">
        <f>'№4'!G375</f>
        <v>0</v>
      </c>
      <c r="G22" s="64">
        <f>'№4'!H375</f>
        <v>0</v>
      </c>
    </row>
    <row r="23" spans="1:7" ht="12.75">
      <c r="A23" s="172" t="s">
        <v>69</v>
      </c>
      <c r="B23" s="172" t="s">
        <v>275</v>
      </c>
      <c r="C23" s="172" t="s">
        <v>93</v>
      </c>
      <c r="D23" s="173" t="s">
        <v>463</v>
      </c>
      <c r="E23" s="64">
        <f>E24</f>
        <v>0</v>
      </c>
      <c r="F23" s="64">
        <f aca="true" t="shared" si="6" ref="F23:G23">F24</f>
        <v>458.6</v>
      </c>
      <c r="G23" s="64">
        <f t="shared" si="6"/>
        <v>458.6</v>
      </c>
    </row>
    <row r="24" spans="1:7" ht="82.5">
      <c r="A24" s="172" t="s">
        <v>69</v>
      </c>
      <c r="B24" s="172" t="s">
        <v>275</v>
      </c>
      <c r="C24" s="172" t="s">
        <v>95</v>
      </c>
      <c r="D24" s="173" t="s">
        <v>3</v>
      </c>
      <c r="E24" s="64">
        <f>'№4'!F377</f>
        <v>0</v>
      </c>
      <c r="F24" s="64">
        <f>'№4'!G377</f>
        <v>458.6</v>
      </c>
      <c r="G24" s="64">
        <f>'№4'!H377</f>
        <v>458.6</v>
      </c>
    </row>
    <row r="25" spans="1:7" ht="66">
      <c r="A25" s="172" t="s">
        <v>70</v>
      </c>
      <c r="B25" s="172" t="s">
        <v>93</v>
      </c>
      <c r="C25" s="172" t="s">
        <v>93</v>
      </c>
      <c r="D25" s="173" t="s">
        <v>45</v>
      </c>
      <c r="E25" s="64">
        <f>E26</f>
        <v>35722.5</v>
      </c>
      <c r="F25" s="64">
        <f aca="true" t="shared" si="7" ref="F25:G26">F26</f>
        <v>35825.1</v>
      </c>
      <c r="G25" s="64">
        <f t="shared" si="7"/>
        <v>35825.1</v>
      </c>
    </row>
    <row r="26" spans="1:7" ht="54" customHeight="1">
      <c r="A26" s="172" t="s">
        <v>70</v>
      </c>
      <c r="B26" s="172" t="s">
        <v>200</v>
      </c>
      <c r="C26" s="172" t="s">
        <v>93</v>
      </c>
      <c r="D26" s="173" t="s">
        <v>339</v>
      </c>
      <c r="E26" s="64">
        <f>E27</f>
        <v>35722.5</v>
      </c>
      <c r="F26" s="64">
        <f t="shared" si="7"/>
        <v>35825.1</v>
      </c>
      <c r="G26" s="64">
        <f t="shared" si="7"/>
        <v>35825.1</v>
      </c>
    </row>
    <row r="27" spans="1:7" ht="12.75">
      <c r="A27" s="172" t="s">
        <v>70</v>
      </c>
      <c r="B27" s="172" t="s">
        <v>201</v>
      </c>
      <c r="C27" s="172" t="s">
        <v>93</v>
      </c>
      <c r="D27" s="173" t="s">
        <v>2</v>
      </c>
      <c r="E27" s="64">
        <f>E28+E31+E35</f>
        <v>35722.5</v>
      </c>
      <c r="F27" s="64">
        <f aca="true" t="shared" si="8" ref="F27:G27">F28+F31+F35</f>
        <v>35825.1</v>
      </c>
      <c r="G27" s="64">
        <f t="shared" si="8"/>
        <v>35825.1</v>
      </c>
    </row>
    <row r="28" spans="1:7" ht="66">
      <c r="A28" s="172" t="s">
        <v>70</v>
      </c>
      <c r="B28" s="172" t="s">
        <v>205</v>
      </c>
      <c r="C28" s="172" t="s">
        <v>93</v>
      </c>
      <c r="D28" s="173" t="s">
        <v>315</v>
      </c>
      <c r="E28" s="64">
        <f>E29+E30</f>
        <v>650</v>
      </c>
      <c r="F28" s="64">
        <f aca="true" t="shared" si="9" ref="F28:G28">F29+F30</f>
        <v>650</v>
      </c>
      <c r="G28" s="64">
        <f t="shared" si="9"/>
        <v>650</v>
      </c>
    </row>
    <row r="29" spans="1:7" ht="82.5">
      <c r="A29" s="172" t="s">
        <v>70</v>
      </c>
      <c r="B29" s="172" t="s">
        <v>205</v>
      </c>
      <c r="C29" s="172" t="s">
        <v>95</v>
      </c>
      <c r="D29" s="173" t="s">
        <v>3</v>
      </c>
      <c r="E29" s="64">
        <f>'№4'!F21</f>
        <v>592.3</v>
      </c>
      <c r="F29" s="64">
        <f>'№4'!G21</f>
        <v>592.3</v>
      </c>
      <c r="G29" s="64">
        <f>'№4'!H21</f>
        <v>592.3</v>
      </c>
    </row>
    <row r="30" spans="1:7" ht="33">
      <c r="A30" s="172" t="s">
        <v>70</v>
      </c>
      <c r="B30" s="172" t="s">
        <v>205</v>
      </c>
      <c r="C30" s="172" t="s">
        <v>96</v>
      </c>
      <c r="D30" s="173" t="s">
        <v>342</v>
      </c>
      <c r="E30" s="64">
        <f>'№4'!F22</f>
        <v>57.7</v>
      </c>
      <c r="F30" s="64">
        <f>'№4'!G22</f>
        <v>57.7</v>
      </c>
      <c r="G30" s="64">
        <f>'№4'!H22</f>
        <v>57.7</v>
      </c>
    </row>
    <row r="31" spans="1:7" ht="82.5">
      <c r="A31" s="172" t="s">
        <v>70</v>
      </c>
      <c r="B31" s="172" t="s">
        <v>203</v>
      </c>
      <c r="C31" s="172" t="s">
        <v>93</v>
      </c>
      <c r="D31" s="173" t="s">
        <v>343</v>
      </c>
      <c r="E31" s="64">
        <f>E32+E33+E34</f>
        <v>35001.4</v>
      </c>
      <c r="F31" s="64">
        <f aca="true" t="shared" si="10" ref="F31:G31">F32+F33+F34</f>
        <v>35104</v>
      </c>
      <c r="G31" s="64">
        <f t="shared" si="10"/>
        <v>35104</v>
      </c>
    </row>
    <row r="32" spans="1:7" ht="82.5">
      <c r="A32" s="172" t="s">
        <v>70</v>
      </c>
      <c r="B32" s="172" t="s">
        <v>203</v>
      </c>
      <c r="C32" s="172" t="s">
        <v>95</v>
      </c>
      <c r="D32" s="173" t="s">
        <v>3</v>
      </c>
      <c r="E32" s="64">
        <f>'№4'!F24</f>
        <v>30127</v>
      </c>
      <c r="F32" s="64">
        <f>'№4'!G24</f>
        <v>30511.6</v>
      </c>
      <c r="G32" s="64">
        <f>'№4'!H24</f>
        <v>30511.6</v>
      </c>
    </row>
    <row r="33" spans="1:7" ht="33">
      <c r="A33" s="172" t="s">
        <v>70</v>
      </c>
      <c r="B33" s="172" t="s">
        <v>203</v>
      </c>
      <c r="C33" s="172" t="s">
        <v>96</v>
      </c>
      <c r="D33" s="173" t="s">
        <v>342</v>
      </c>
      <c r="E33" s="64">
        <f>'№4'!F25</f>
        <v>4767.1</v>
      </c>
      <c r="F33" s="64">
        <f>'№4'!G25</f>
        <v>4485.1</v>
      </c>
      <c r="G33" s="64">
        <f>'№4'!H25</f>
        <v>4485.1</v>
      </c>
    </row>
    <row r="34" spans="1:7" ht="12.75">
      <c r="A34" s="172" t="s">
        <v>70</v>
      </c>
      <c r="B34" s="172" t="s">
        <v>203</v>
      </c>
      <c r="C34" s="172" t="s">
        <v>97</v>
      </c>
      <c r="D34" s="173" t="s">
        <v>98</v>
      </c>
      <c r="E34" s="64">
        <f>'№4'!F26</f>
        <v>107.3</v>
      </c>
      <c r="F34" s="64">
        <f>'№4'!G26</f>
        <v>107.3</v>
      </c>
      <c r="G34" s="64">
        <f>'№4'!H26</f>
        <v>107.3</v>
      </c>
    </row>
    <row r="35" spans="1:7" ht="66">
      <c r="A35" s="172" t="s">
        <v>70</v>
      </c>
      <c r="B35" s="172" t="s">
        <v>204</v>
      </c>
      <c r="C35" s="172" t="s">
        <v>93</v>
      </c>
      <c r="D35" s="173" t="s">
        <v>344</v>
      </c>
      <c r="E35" s="64">
        <f>E36</f>
        <v>71.1</v>
      </c>
      <c r="F35" s="64">
        <f aca="true" t="shared" si="11" ref="F35:G35">F36</f>
        <v>71.1</v>
      </c>
      <c r="G35" s="64">
        <f t="shared" si="11"/>
        <v>71.1</v>
      </c>
    </row>
    <row r="36" spans="1:7" ht="82.5">
      <c r="A36" s="172" t="s">
        <v>70</v>
      </c>
      <c r="B36" s="172" t="s">
        <v>204</v>
      </c>
      <c r="C36" s="172" t="s">
        <v>95</v>
      </c>
      <c r="D36" s="173" t="s">
        <v>3</v>
      </c>
      <c r="E36" s="64">
        <f>'№4'!F28</f>
        <v>71.1</v>
      </c>
      <c r="F36" s="64">
        <f>'№4'!G28</f>
        <v>71.1</v>
      </c>
      <c r="G36" s="64">
        <f>'№4'!H28</f>
        <v>71.1</v>
      </c>
    </row>
    <row r="37" spans="1:7" ht="49.5">
      <c r="A37" s="172" t="s">
        <v>71</v>
      </c>
      <c r="B37" s="172" t="s">
        <v>93</v>
      </c>
      <c r="C37" s="172" t="s">
        <v>93</v>
      </c>
      <c r="D37" s="173" t="s">
        <v>12</v>
      </c>
      <c r="E37" s="64">
        <f>E38</f>
        <v>9521.5</v>
      </c>
      <c r="F37" s="64">
        <f aca="true" t="shared" si="12" ref="F37:G39">F38</f>
        <v>9521.5</v>
      </c>
      <c r="G37" s="64">
        <f t="shared" si="12"/>
        <v>9521.5</v>
      </c>
    </row>
    <row r="38" spans="1:7" ht="49.5">
      <c r="A38" s="172" t="s">
        <v>71</v>
      </c>
      <c r="B38" s="172" t="s">
        <v>256</v>
      </c>
      <c r="C38" s="172" t="s">
        <v>93</v>
      </c>
      <c r="D38" s="173" t="s">
        <v>426</v>
      </c>
      <c r="E38" s="64">
        <f>E39</f>
        <v>9521.5</v>
      </c>
      <c r="F38" s="64">
        <f t="shared" si="12"/>
        <v>9521.5</v>
      </c>
      <c r="G38" s="64">
        <f t="shared" si="12"/>
        <v>9521.5</v>
      </c>
    </row>
    <row r="39" spans="1:7" ht="12.75">
      <c r="A39" s="172" t="s">
        <v>71</v>
      </c>
      <c r="B39" s="172" t="s">
        <v>257</v>
      </c>
      <c r="C39" s="172" t="s">
        <v>93</v>
      </c>
      <c r="D39" s="173" t="s">
        <v>2</v>
      </c>
      <c r="E39" s="64">
        <f>E40</f>
        <v>9521.5</v>
      </c>
      <c r="F39" s="64">
        <f t="shared" si="12"/>
        <v>9521.5</v>
      </c>
      <c r="G39" s="64">
        <f t="shared" si="12"/>
        <v>9521.5</v>
      </c>
    </row>
    <row r="40" spans="1:7" ht="67.5" customHeight="1">
      <c r="A40" s="172" t="s">
        <v>71</v>
      </c>
      <c r="B40" s="172" t="s">
        <v>258</v>
      </c>
      <c r="C40" s="172" t="s">
        <v>93</v>
      </c>
      <c r="D40" s="173" t="s">
        <v>343</v>
      </c>
      <c r="E40" s="64">
        <f>E41+E42+E43</f>
        <v>9521.5</v>
      </c>
      <c r="F40" s="64">
        <f aca="true" t="shared" si="13" ref="F40:G40">F41+F42+F43</f>
        <v>9521.5</v>
      </c>
      <c r="G40" s="64">
        <f t="shared" si="13"/>
        <v>9521.5</v>
      </c>
    </row>
    <row r="41" spans="1:7" ht="82.5">
      <c r="A41" s="172" t="s">
        <v>71</v>
      </c>
      <c r="B41" s="172" t="s">
        <v>258</v>
      </c>
      <c r="C41" s="172" t="s">
        <v>95</v>
      </c>
      <c r="D41" s="173" t="s">
        <v>3</v>
      </c>
      <c r="E41" s="64">
        <f>'№4'!F304</f>
        <v>8007.7</v>
      </c>
      <c r="F41" s="64">
        <f>'№4'!G304</f>
        <v>8007.7</v>
      </c>
      <c r="G41" s="64">
        <f>'№4'!H304</f>
        <v>8007.7</v>
      </c>
    </row>
    <row r="42" spans="1:7" ht="33">
      <c r="A42" s="172" t="s">
        <v>71</v>
      </c>
      <c r="B42" s="172" t="s">
        <v>258</v>
      </c>
      <c r="C42" s="172" t="s">
        <v>96</v>
      </c>
      <c r="D42" s="173" t="s">
        <v>342</v>
      </c>
      <c r="E42" s="64">
        <f>'№4'!F305</f>
        <v>1425.2</v>
      </c>
      <c r="F42" s="64">
        <f>'№4'!G305</f>
        <v>1395.4</v>
      </c>
      <c r="G42" s="64">
        <f>'№4'!H305</f>
        <v>1395.4</v>
      </c>
    </row>
    <row r="43" spans="1:7" ht="12.75">
      <c r="A43" s="172" t="s">
        <v>71</v>
      </c>
      <c r="B43" s="172" t="s">
        <v>258</v>
      </c>
      <c r="C43" s="172" t="s">
        <v>97</v>
      </c>
      <c r="D43" s="173" t="s">
        <v>98</v>
      </c>
      <c r="E43" s="64">
        <f>'№4'!F306</f>
        <v>88.60000000000001</v>
      </c>
      <c r="F43" s="64">
        <f>'№4'!G306</f>
        <v>118.4</v>
      </c>
      <c r="G43" s="64">
        <f>'№4'!H306</f>
        <v>118.4</v>
      </c>
    </row>
    <row r="44" spans="1:7" ht="12.75">
      <c r="A44" s="15" t="s">
        <v>560</v>
      </c>
      <c r="B44" s="4"/>
      <c r="C44" s="174"/>
      <c r="D44" s="5" t="s">
        <v>561</v>
      </c>
      <c r="E44" s="64">
        <f>E45</f>
        <v>280</v>
      </c>
      <c r="F44" s="64">
        <f aca="true" t="shared" si="14" ref="F44:G47">F45</f>
        <v>0</v>
      </c>
      <c r="G44" s="64">
        <f t="shared" si="14"/>
        <v>0</v>
      </c>
    </row>
    <row r="45" spans="1:7" ht="12.75">
      <c r="A45" s="15" t="s">
        <v>560</v>
      </c>
      <c r="B45" s="172" t="s">
        <v>312</v>
      </c>
      <c r="C45" s="172" t="s">
        <v>93</v>
      </c>
      <c r="D45" s="173" t="s">
        <v>429</v>
      </c>
      <c r="E45" s="64">
        <f>E46</f>
        <v>280</v>
      </c>
      <c r="F45" s="64">
        <f t="shared" si="14"/>
        <v>0</v>
      </c>
      <c r="G45" s="64">
        <f t="shared" si="14"/>
        <v>0</v>
      </c>
    </row>
    <row r="46" spans="1:7" ht="49.5">
      <c r="A46" s="15" t="s">
        <v>560</v>
      </c>
      <c r="B46" s="31">
        <v>9940000000</v>
      </c>
      <c r="C46" s="174"/>
      <c r="D46" s="5" t="s">
        <v>437</v>
      </c>
      <c r="E46" s="64">
        <f>E47</f>
        <v>280</v>
      </c>
      <c r="F46" s="64">
        <f t="shared" si="14"/>
        <v>0</v>
      </c>
      <c r="G46" s="64">
        <f t="shared" si="14"/>
        <v>0</v>
      </c>
    </row>
    <row r="47" spans="1:7" ht="33">
      <c r="A47" s="15" t="s">
        <v>560</v>
      </c>
      <c r="B47" s="172" t="s">
        <v>562</v>
      </c>
      <c r="C47" s="172"/>
      <c r="D47" s="173" t="s">
        <v>563</v>
      </c>
      <c r="E47" s="64">
        <f>E48</f>
        <v>280</v>
      </c>
      <c r="F47" s="64">
        <f t="shared" si="14"/>
        <v>0</v>
      </c>
      <c r="G47" s="64">
        <f t="shared" si="14"/>
        <v>0</v>
      </c>
    </row>
    <row r="48" spans="1:7" ht="12.75">
      <c r="A48" s="15" t="s">
        <v>560</v>
      </c>
      <c r="B48" s="172" t="s">
        <v>562</v>
      </c>
      <c r="C48" s="172" t="s">
        <v>97</v>
      </c>
      <c r="D48" s="173" t="s">
        <v>98</v>
      </c>
      <c r="E48" s="64">
        <f>'№4'!F33</f>
        <v>280</v>
      </c>
      <c r="F48" s="64">
        <f>'№4'!G33</f>
        <v>0</v>
      </c>
      <c r="G48" s="64">
        <f>'№4'!H33</f>
        <v>0</v>
      </c>
    </row>
    <row r="49" spans="1:7" ht="12.75">
      <c r="A49" s="172" t="s">
        <v>72</v>
      </c>
      <c r="B49" s="172" t="s">
        <v>93</v>
      </c>
      <c r="C49" s="172" t="s">
        <v>93</v>
      </c>
      <c r="D49" s="173" t="s">
        <v>13</v>
      </c>
      <c r="E49" s="64">
        <f>E50</f>
        <v>1401.2</v>
      </c>
      <c r="F49" s="64">
        <f aca="true" t="shared" si="15" ref="F49:G52">F50</f>
        <v>500</v>
      </c>
      <c r="G49" s="64">
        <f t="shared" si="15"/>
        <v>500</v>
      </c>
    </row>
    <row r="50" spans="1:7" ht="12.75">
      <c r="A50" s="172" t="s">
        <v>72</v>
      </c>
      <c r="B50" s="172" t="s">
        <v>312</v>
      </c>
      <c r="C50" s="172" t="s">
        <v>93</v>
      </c>
      <c r="D50" s="173" t="s">
        <v>429</v>
      </c>
      <c r="E50" s="64">
        <f>E51</f>
        <v>1401.2</v>
      </c>
      <c r="F50" s="64">
        <f t="shared" si="15"/>
        <v>500</v>
      </c>
      <c r="G50" s="64">
        <f t="shared" si="15"/>
        <v>500</v>
      </c>
    </row>
    <row r="51" spans="1:7" ht="12.75">
      <c r="A51" s="172" t="s">
        <v>72</v>
      </c>
      <c r="B51" s="172" t="s">
        <v>430</v>
      </c>
      <c r="C51" s="172" t="s">
        <v>93</v>
      </c>
      <c r="D51" s="173" t="s">
        <v>13</v>
      </c>
      <c r="E51" s="64">
        <f>E52</f>
        <v>1401.2</v>
      </c>
      <c r="F51" s="64">
        <f t="shared" si="15"/>
        <v>500</v>
      </c>
      <c r="G51" s="64">
        <f t="shared" si="15"/>
        <v>500</v>
      </c>
    </row>
    <row r="52" spans="1:7" ht="33">
      <c r="A52" s="172" t="s">
        <v>72</v>
      </c>
      <c r="B52" s="172" t="s">
        <v>259</v>
      </c>
      <c r="C52" s="172" t="s">
        <v>93</v>
      </c>
      <c r="D52" s="173" t="s">
        <v>132</v>
      </c>
      <c r="E52" s="64">
        <f>E53</f>
        <v>1401.2</v>
      </c>
      <c r="F52" s="64">
        <f t="shared" si="15"/>
        <v>500</v>
      </c>
      <c r="G52" s="64">
        <f t="shared" si="15"/>
        <v>500</v>
      </c>
    </row>
    <row r="53" spans="1:7" ht="12.75">
      <c r="A53" s="172" t="s">
        <v>72</v>
      </c>
      <c r="B53" s="172" t="s">
        <v>259</v>
      </c>
      <c r="C53" s="172" t="s">
        <v>97</v>
      </c>
      <c r="D53" s="173" t="s">
        <v>98</v>
      </c>
      <c r="E53" s="64">
        <f>'№4'!F311</f>
        <v>1401.2</v>
      </c>
      <c r="F53" s="64">
        <f>'№4'!G311</f>
        <v>500</v>
      </c>
      <c r="G53" s="64">
        <f>'№4'!H311</f>
        <v>500</v>
      </c>
    </row>
    <row r="54" spans="1:7" ht="12.75">
      <c r="A54" s="172" t="s">
        <v>87</v>
      </c>
      <c r="B54" s="172" t="s">
        <v>93</v>
      </c>
      <c r="C54" s="172" t="s">
        <v>93</v>
      </c>
      <c r="D54" s="173" t="s">
        <v>46</v>
      </c>
      <c r="E54" s="64">
        <f>E55+E83+E93+E100</f>
        <v>11724.5</v>
      </c>
      <c r="F54" s="64">
        <f aca="true" t="shared" si="16" ref="F54:G54">F55+F83+F93+F100</f>
        <v>10233.3</v>
      </c>
      <c r="G54" s="64">
        <f t="shared" si="16"/>
        <v>10268.5</v>
      </c>
    </row>
    <row r="55" spans="1:7" ht="53.25" customHeight="1">
      <c r="A55" s="172" t="s">
        <v>87</v>
      </c>
      <c r="B55" s="172" t="s">
        <v>200</v>
      </c>
      <c r="C55" s="172" t="s">
        <v>93</v>
      </c>
      <c r="D55" s="173" t="s">
        <v>339</v>
      </c>
      <c r="E55" s="64">
        <f>E56+E61+E71+E75+E66</f>
        <v>1714.1000000000001</v>
      </c>
      <c r="F55" s="64">
        <f aca="true" t="shared" si="17" ref="F55:G55">F56+F61+F71+F75+F66</f>
        <v>967.2</v>
      </c>
      <c r="G55" s="64">
        <f t="shared" si="17"/>
        <v>979.1999999999999</v>
      </c>
    </row>
    <row r="56" spans="1:7" ht="66">
      <c r="A56" s="172" t="s">
        <v>87</v>
      </c>
      <c r="B56" s="172" t="s">
        <v>206</v>
      </c>
      <c r="C56" s="172" t="s">
        <v>93</v>
      </c>
      <c r="D56" s="173" t="s">
        <v>345</v>
      </c>
      <c r="E56" s="64">
        <f>E57+E59</f>
        <v>1069.7</v>
      </c>
      <c r="F56" s="64">
        <f aca="true" t="shared" si="18" ref="F56:G56">F57+F59</f>
        <v>421.9</v>
      </c>
      <c r="G56" s="64">
        <f t="shared" si="18"/>
        <v>428.5</v>
      </c>
    </row>
    <row r="57" spans="1:7" ht="33">
      <c r="A57" s="172" t="s">
        <v>87</v>
      </c>
      <c r="B57" s="172" t="s">
        <v>207</v>
      </c>
      <c r="C57" s="172" t="s">
        <v>93</v>
      </c>
      <c r="D57" s="173" t="s">
        <v>157</v>
      </c>
      <c r="E57" s="64">
        <f>E58</f>
        <v>615.4</v>
      </c>
      <c r="F57" s="64">
        <f aca="true" t="shared" si="19" ref="F57:G57">F58</f>
        <v>421.9</v>
      </c>
      <c r="G57" s="64">
        <f t="shared" si="19"/>
        <v>428.5</v>
      </c>
    </row>
    <row r="58" spans="1:7" ht="33">
      <c r="A58" s="172" t="s">
        <v>87</v>
      </c>
      <c r="B58" s="172" t="s">
        <v>207</v>
      </c>
      <c r="C58" s="172" t="s">
        <v>96</v>
      </c>
      <c r="D58" s="173" t="s">
        <v>342</v>
      </c>
      <c r="E58" s="64">
        <f>'№4'!F39</f>
        <v>615.4</v>
      </c>
      <c r="F58" s="64">
        <f>'№4'!G39</f>
        <v>421.9</v>
      </c>
      <c r="G58" s="64">
        <f>'№4'!H39</f>
        <v>428.5</v>
      </c>
    </row>
    <row r="59" spans="1:7" ht="49.5">
      <c r="A59" s="172" t="s">
        <v>87</v>
      </c>
      <c r="B59" s="172" t="s">
        <v>348</v>
      </c>
      <c r="C59" s="172" t="s">
        <v>93</v>
      </c>
      <c r="D59" s="173" t="s">
        <v>349</v>
      </c>
      <c r="E59" s="64">
        <f>E60</f>
        <v>454.30000000000007</v>
      </c>
      <c r="F59" s="64">
        <f aca="true" t="shared" si="20" ref="F59:G59">F60</f>
        <v>0</v>
      </c>
      <c r="G59" s="64">
        <f t="shared" si="20"/>
        <v>0</v>
      </c>
    </row>
    <row r="60" spans="1:7" ht="33">
      <c r="A60" s="172" t="s">
        <v>87</v>
      </c>
      <c r="B60" s="172" t="s">
        <v>348</v>
      </c>
      <c r="C60" s="172" t="s">
        <v>96</v>
      </c>
      <c r="D60" s="173" t="s">
        <v>342</v>
      </c>
      <c r="E60" s="64">
        <f>'№4'!F41</f>
        <v>454.30000000000007</v>
      </c>
      <c r="F60" s="64">
        <f>'№4'!G41</f>
        <v>0</v>
      </c>
      <c r="G60" s="64">
        <f>'№4'!H41</f>
        <v>0</v>
      </c>
    </row>
    <row r="61" spans="1:7" ht="99">
      <c r="A61" s="172" t="s">
        <v>87</v>
      </c>
      <c r="B61" s="172" t="s">
        <v>208</v>
      </c>
      <c r="C61" s="172" t="s">
        <v>93</v>
      </c>
      <c r="D61" s="173" t="s">
        <v>158</v>
      </c>
      <c r="E61" s="64">
        <f>E62+E64</f>
        <v>76.5</v>
      </c>
      <c r="F61" s="64">
        <f aca="true" t="shared" si="21" ref="F61:G61">F62+F64</f>
        <v>78</v>
      </c>
      <c r="G61" s="64">
        <f t="shared" si="21"/>
        <v>79.5</v>
      </c>
    </row>
    <row r="62" spans="1:7" ht="49.5">
      <c r="A62" s="172" t="s">
        <v>87</v>
      </c>
      <c r="B62" s="172" t="s">
        <v>209</v>
      </c>
      <c r="C62" s="172" t="s">
        <v>93</v>
      </c>
      <c r="D62" s="173" t="s">
        <v>159</v>
      </c>
      <c r="E62" s="64">
        <f>E63</f>
        <v>51</v>
      </c>
      <c r="F62" s="64">
        <f aca="true" t="shared" si="22" ref="F62:G62">F63</f>
        <v>52</v>
      </c>
      <c r="G62" s="64">
        <f t="shared" si="22"/>
        <v>53</v>
      </c>
    </row>
    <row r="63" spans="1:7" ht="12.75">
      <c r="A63" s="172" t="s">
        <v>87</v>
      </c>
      <c r="B63" s="172" t="s">
        <v>209</v>
      </c>
      <c r="C63" s="172" t="s">
        <v>97</v>
      </c>
      <c r="D63" s="173" t="s">
        <v>98</v>
      </c>
      <c r="E63" s="64">
        <f>'№4'!F45</f>
        <v>51</v>
      </c>
      <c r="F63" s="64">
        <f>'№4'!G45</f>
        <v>52</v>
      </c>
      <c r="G63" s="64">
        <f>'№4'!H45</f>
        <v>53</v>
      </c>
    </row>
    <row r="64" spans="1:7" ht="66">
      <c r="A64" s="172" t="s">
        <v>87</v>
      </c>
      <c r="B64" s="172" t="s">
        <v>210</v>
      </c>
      <c r="C64" s="172" t="s">
        <v>93</v>
      </c>
      <c r="D64" s="173" t="s">
        <v>160</v>
      </c>
      <c r="E64" s="64">
        <f>E65</f>
        <v>25.5</v>
      </c>
      <c r="F64" s="64">
        <f aca="true" t="shared" si="23" ref="F64:G64">F65</f>
        <v>26</v>
      </c>
      <c r="G64" s="64">
        <f t="shared" si="23"/>
        <v>26.5</v>
      </c>
    </row>
    <row r="65" spans="1:7" ht="33">
      <c r="A65" s="172" t="s">
        <v>87</v>
      </c>
      <c r="B65" s="172" t="s">
        <v>210</v>
      </c>
      <c r="C65" s="172" t="s">
        <v>96</v>
      </c>
      <c r="D65" s="173" t="s">
        <v>342</v>
      </c>
      <c r="E65" s="64">
        <f>'№4'!F48</f>
        <v>25.5</v>
      </c>
      <c r="F65" s="64">
        <f>'№4'!G48</f>
        <v>26</v>
      </c>
      <c r="G65" s="64">
        <f>'№4'!H48</f>
        <v>26.5</v>
      </c>
    </row>
    <row r="66" spans="1:7" ht="33">
      <c r="A66" s="172" t="s">
        <v>87</v>
      </c>
      <c r="B66" s="172" t="s">
        <v>211</v>
      </c>
      <c r="C66" s="172" t="s">
        <v>93</v>
      </c>
      <c r="D66" s="173" t="s">
        <v>161</v>
      </c>
      <c r="E66" s="64">
        <f>E67+E69</f>
        <v>205.7</v>
      </c>
      <c r="F66" s="64">
        <f aca="true" t="shared" si="24" ref="F66:G66">F67+F69</f>
        <v>109.2</v>
      </c>
      <c r="G66" s="64">
        <f t="shared" si="24"/>
        <v>111.4</v>
      </c>
    </row>
    <row r="67" spans="1:7" ht="33">
      <c r="A67" s="172" t="s">
        <v>87</v>
      </c>
      <c r="B67" s="172" t="s">
        <v>212</v>
      </c>
      <c r="C67" s="172" t="s">
        <v>93</v>
      </c>
      <c r="D67" s="173" t="s">
        <v>356</v>
      </c>
      <c r="E67" s="64">
        <f>E68</f>
        <v>107.1</v>
      </c>
      <c r="F67" s="64">
        <f aca="true" t="shared" si="25" ref="F67:G67">F68</f>
        <v>109.2</v>
      </c>
      <c r="G67" s="64">
        <f t="shared" si="25"/>
        <v>111.4</v>
      </c>
    </row>
    <row r="68" spans="1:7" ht="12.75">
      <c r="A68" s="172" t="s">
        <v>87</v>
      </c>
      <c r="B68" s="172" t="s">
        <v>212</v>
      </c>
      <c r="C68" s="172" t="s">
        <v>100</v>
      </c>
      <c r="D68" s="173" t="s">
        <v>101</v>
      </c>
      <c r="E68" s="64">
        <f>'№4'!F52</f>
        <v>107.1</v>
      </c>
      <c r="F68" s="64">
        <f>'№4'!G52</f>
        <v>109.2</v>
      </c>
      <c r="G68" s="64">
        <f>'№4'!H52</f>
        <v>111.4</v>
      </c>
    </row>
    <row r="69" spans="1:7" ht="33">
      <c r="A69" s="172" t="s">
        <v>87</v>
      </c>
      <c r="B69" s="172" t="s">
        <v>651</v>
      </c>
      <c r="C69" s="172"/>
      <c r="D69" s="173" t="s">
        <v>652</v>
      </c>
      <c r="E69" s="64">
        <f>E70</f>
        <v>98.6</v>
      </c>
      <c r="F69" s="64">
        <f aca="true" t="shared" si="26" ref="F69:G69">F70</f>
        <v>0</v>
      </c>
      <c r="G69" s="64">
        <f t="shared" si="26"/>
        <v>0</v>
      </c>
    </row>
    <row r="70" spans="1:7" ht="33">
      <c r="A70" s="172" t="s">
        <v>87</v>
      </c>
      <c r="B70" s="172" t="s">
        <v>651</v>
      </c>
      <c r="C70" s="172" t="s">
        <v>96</v>
      </c>
      <c r="D70" s="173" t="s">
        <v>342</v>
      </c>
      <c r="E70" s="64">
        <f>'№4'!F54</f>
        <v>98.6</v>
      </c>
      <c r="F70" s="64">
        <f>'№4'!G54</f>
        <v>0</v>
      </c>
      <c r="G70" s="64">
        <f>'№4'!H54</f>
        <v>0</v>
      </c>
    </row>
    <row r="71" spans="1:7" ht="66">
      <c r="A71" s="172" t="s">
        <v>87</v>
      </c>
      <c r="B71" s="172" t="s">
        <v>213</v>
      </c>
      <c r="C71" s="172" t="s">
        <v>93</v>
      </c>
      <c r="D71" s="173" t="s">
        <v>155</v>
      </c>
      <c r="E71" s="64">
        <f>E72</f>
        <v>62.199999999999996</v>
      </c>
      <c r="F71" s="64">
        <f aca="true" t="shared" si="27" ref="F71:G71">F72</f>
        <v>62.4</v>
      </c>
      <c r="G71" s="64">
        <f t="shared" si="27"/>
        <v>64.1</v>
      </c>
    </row>
    <row r="72" spans="1:7" ht="33">
      <c r="A72" s="172" t="s">
        <v>87</v>
      </c>
      <c r="B72" s="172" t="s">
        <v>214</v>
      </c>
      <c r="C72" s="172" t="s">
        <v>93</v>
      </c>
      <c r="D72" s="173" t="s">
        <v>156</v>
      </c>
      <c r="E72" s="64">
        <f>E73+E74</f>
        <v>62.199999999999996</v>
      </c>
      <c r="F72" s="64">
        <f aca="true" t="shared" si="28" ref="F72:G72">F73+F74</f>
        <v>62.4</v>
      </c>
      <c r="G72" s="64">
        <f t="shared" si="28"/>
        <v>64.1</v>
      </c>
    </row>
    <row r="73" spans="1:7" ht="33">
      <c r="A73" s="172" t="s">
        <v>87</v>
      </c>
      <c r="B73" s="172" t="s">
        <v>214</v>
      </c>
      <c r="C73" s="172" t="s">
        <v>96</v>
      </c>
      <c r="D73" s="173" t="s">
        <v>342</v>
      </c>
      <c r="E73" s="64">
        <f>'№4'!F58</f>
        <v>47.199999999999996</v>
      </c>
      <c r="F73" s="64">
        <f>'№4'!G58</f>
        <v>50.9</v>
      </c>
      <c r="G73" s="64">
        <f>'№4'!H58</f>
        <v>52.6</v>
      </c>
    </row>
    <row r="74" spans="1:7" ht="12.75">
      <c r="A74" s="172" t="s">
        <v>87</v>
      </c>
      <c r="B74" s="172" t="s">
        <v>214</v>
      </c>
      <c r="C74" s="172" t="s">
        <v>100</v>
      </c>
      <c r="D74" s="173" t="s">
        <v>101</v>
      </c>
      <c r="E74" s="64">
        <f>'№4'!F59</f>
        <v>15</v>
      </c>
      <c r="F74" s="64">
        <f>'№4'!G59</f>
        <v>11.5</v>
      </c>
      <c r="G74" s="64">
        <f>'№4'!H59</f>
        <v>11.5</v>
      </c>
    </row>
    <row r="75" spans="1:7" ht="12.75">
      <c r="A75" s="172" t="s">
        <v>87</v>
      </c>
      <c r="B75" s="172" t="s">
        <v>201</v>
      </c>
      <c r="C75" s="172" t="s">
        <v>93</v>
      </c>
      <c r="D75" s="173" t="s">
        <v>2</v>
      </c>
      <c r="E75" s="64">
        <f>E76+E81+E79</f>
        <v>300</v>
      </c>
      <c r="F75" s="64">
        <f aca="true" t="shared" si="29" ref="F75:G75">F76+F81+F79</f>
        <v>295.7</v>
      </c>
      <c r="G75" s="64">
        <f t="shared" si="29"/>
        <v>295.7</v>
      </c>
    </row>
    <row r="76" spans="1:7" ht="82.5">
      <c r="A76" s="172" t="s">
        <v>87</v>
      </c>
      <c r="B76" s="172" t="s">
        <v>215</v>
      </c>
      <c r="C76" s="172" t="s">
        <v>93</v>
      </c>
      <c r="D76" s="173" t="s">
        <v>191</v>
      </c>
      <c r="E76" s="64">
        <f>E77+E78</f>
        <v>264</v>
      </c>
      <c r="F76" s="64">
        <f aca="true" t="shared" si="30" ref="F76:G76">F77+F78</f>
        <v>264</v>
      </c>
      <c r="G76" s="64">
        <f t="shared" si="30"/>
        <v>264</v>
      </c>
    </row>
    <row r="77" spans="1:7" ht="82.5">
      <c r="A77" s="172" t="s">
        <v>87</v>
      </c>
      <c r="B77" s="172" t="s">
        <v>215</v>
      </c>
      <c r="C77" s="172" t="s">
        <v>95</v>
      </c>
      <c r="D77" s="173" t="s">
        <v>3</v>
      </c>
      <c r="E77" s="64">
        <f>'№4'!F63</f>
        <v>246.4</v>
      </c>
      <c r="F77" s="64">
        <f>'№4'!G63</f>
        <v>246.4</v>
      </c>
      <c r="G77" s="64">
        <f>'№4'!H63</f>
        <v>246.4</v>
      </c>
    </row>
    <row r="78" spans="1:7" ht="33">
      <c r="A78" s="172" t="s">
        <v>87</v>
      </c>
      <c r="B78" s="172" t="s">
        <v>215</v>
      </c>
      <c r="C78" s="172" t="s">
        <v>96</v>
      </c>
      <c r="D78" s="173" t="s">
        <v>342</v>
      </c>
      <c r="E78" s="64">
        <f>'№4'!F64</f>
        <v>17.6</v>
      </c>
      <c r="F78" s="64">
        <f>'№4'!G64</f>
        <v>17.6</v>
      </c>
      <c r="G78" s="64">
        <f>'№4'!H64</f>
        <v>17.6</v>
      </c>
    </row>
    <row r="79" spans="1:7" ht="99">
      <c r="A79" s="15" t="s">
        <v>87</v>
      </c>
      <c r="B79" s="6" t="s">
        <v>576</v>
      </c>
      <c r="C79" s="174"/>
      <c r="D79" s="14" t="s">
        <v>577</v>
      </c>
      <c r="E79" s="64">
        <f>E80</f>
        <v>2.6</v>
      </c>
      <c r="F79" s="64">
        <f aca="true" t="shared" si="31" ref="F79:G79">F80</f>
        <v>0</v>
      </c>
      <c r="G79" s="64">
        <f t="shared" si="31"/>
        <v>0</v>
      </c>
    </row>
    <row r="80" spans="1:7" ht="82.5">
      <c r="A80" s="15" t="s">
        <v>87</v>
      </c>
      <c r="B80" s="6" t="s">
        <v>576</v>
      </c>
      <c r="C80" s="174" t="s">
        <v>95</v>
      </c>
      <c r="D80" s="5" t="s">
        <v>3</v>
      </c>
      <c r="E80" s="64">
        <f>'№4'!F66</f>
        <v>2.6</v>
      </c>
      <c r="F80" s="64">
        <f>'№4'!G66</f>
        <v>0</v>
      </c>
      <c r="G80" s="64">
        <f>'№4'!H66</f>
        <v>0</v>
      </c>
    </row>
    <row r="81" spans="1:7" ht="66">
      <c r="A81" s="172" t="s">
        <v>87</v>
      </c>
      <c r="B81" s="172" t="s">
        <v>204</v>
      </c>
      <c r="C81" s="172" t="s">
        <v>93</v>
      </c>
      <c r="D81" s="173" t="s">
        <v>344</v>
      </c>
      <c r="E81" s="64">
        <f>E82</f>
        <v>33.4</v>
      </c>
      <c r="F81" s="64">
        <f aca="true" t="shared" si="32" ref="F81:G81">F82</f>
        <v>31.7</v>
      </c>
      <c r="G81" s="64">
        <f t="shared" si="32"/>
        <v>31.7</v>
      </c>
    </row>
    <row r="82" spans="1:7" ht="82.5">
      <c r="A82" s="172" t="s">
        <v>87</v>
      </c>
      <c r="B82" s="172" t="s">
        <v>204</v>
      </c>
      <c r="C82" s="172" t="s">
        <v>95</v>
      </c>
      <c r="D82" s="173" t="s">
        <v>3</v>
      </c>
      <c r="E82" s="64">
        <f>'№4'!F68</f>
        <v>33.4</v>
      </c>
      <c r="F82" s="64">
        <f>'№4'!G68</f>
        <v>31.7</v>
      </c>
      <c r="G82" s="64">
        <f>'№4'!H68</f>
        <v>31.7</v>
      </c>
    </row>
    <row r="83" spans="1:7" ht="66">
      <c r="A83" s="172" t="s">
        <v>87</v>
      </c>
      <c r="B83" s="172" t="s">
        <v>264</v>
      </c>
      <c r="C83" s="172" t="s">
        <v>93</v>
      </c>
      <c r="D83" s="173" t="s">
        <v>449</v>
      </c>
      <c r="E83" s="64">
        <f>E84+E89</f>
        <v>8739.3</v>
      </c>
      <c r="F83" s="64">
        <f aca="true" t="shared" si="33" ref="F83:G83">F84+F89</f>
        <v>8102.3</v>
      </c>
      <c r="G83" s="64">
        <f t="shared" si="33"/>
        <v>8102.3</v>
      </c>
    </row>
    <row r="84" spans="1:7" ht="49.5">
      <c r="A84" s="172" t="s">
        <v>87</v>
      </c>
      <c r="B84" s="172" t="s">
        <v>265</v>
      </c>
      <c r="C84" s="172" t="s">
        <v>93</v>
      </c>
      <c r="D84" s="173" t="s">
        <v>147</v>
      </c>
      <c r="E84" s="64">
        <f>E85+E87</f>
        <v>2903.1000000000004</v>
      </c>
      <c r="F84" s="64">
        <f aca="true" t="shared" si="34" ref="F84:G84">F85+F87</f>
        <v>2328.8</v>
      </c>
      <c r="G84" s="64">
        <f t="shared" si="34"/>
        <v>2328.8</v>
      </c>
    </row>
    <row r="85" spans="1:7" ht="33">
      <c r="A85" s="172" t="s">
        <v>87</v>
      </c>
      <c r="B85" s="172" t="s">
        <v>267</v>
      </c>
      <c r="C85" s="172" t="s">
        <v>93</v>
      </c>
      <c r="D85" s="173" t="s">
        <v>148</v>
      </c>
      <c r="E85" s="64">
        <f>E86</f>
        <v>2695.1000000000004</v>
      </c>
      <c r="F85" s="64">
        <f aca="true" t="shared" si="35" ref="F85:G85">F86</f>
        <v>2120.8</v>
      </c>
      <c r="G85" s="64">
        <f t="shared" si="35"/>
        <v>2120.8</v>
      </c>
    </row>
    <row r="86" spans="1:7" ht="33">
      <c r="A86" s="172" t="s">
        <v>87</v>
      </c>
      <c r="B86" s="172" t="s">
        <v>267</v>
      </c>
      <c r="C86" s="172" t="s">
        <v>96</v>
      </c>
      <c r="D86" s="173" t="s">
        <v>342</v>
      </c>
      <c r="E86" s="64">
        <f>'№4'!F336</f>
        <v>2695.1000000000004</v>
      </c>
      <c r="F86" s="64">
        <f>'№4'!G336</f>
        <v>2120.8</v>
      </c>
      <c r="G86" s="64">
        <f>'№4'!H336</f>
        <v>2120.8</v>
      </c>
    </row>
    <row r="87" spans="1:7" ht="33">
      <c r="A87" s="172" t="s">
        <v>87</v>
      </c>
      <c r="B87" s="172" t="s">
        <v>268</v>
      </c>
      <c r="C87" s="172" t="s">
        <v>93</v>
      </c>
      <c r="D87" s="173" t="s">
        <v>452</v>
      </c>
      <c r="E87" s="64">
        <f>E88</f>
        <v>208</v>
      </c>
      <c r="F87" s="64">
        <f aca="true" t="shared" si="36" ref="F87:G87">F88</f>
        <v>208</v>
      </c>
      <c r="G87" s="64">
        <f t="shared" si="36"/>
        <v>208</v>
      </c>
    </row>
    <row r="88" spans="1:7" ht="33">
      <c r="A88" s="172" t="s">
        <v>87</v>
      </c>
      <c r="B88" s="172" t="s">
        <v>268</v>
      </c>
      <c r="C88" s="172" t="s">
        <v>96</v>
      </c>
      <c r="D88" s="173" t="s">
        <v>342</v>
      </c>
      <c r="E88" s="64">
        <f>'№4'!F338</f>
        <v>208</v>
      </c>
      <c r="F88" s="64">
        <f>'№4'!G338</f>
        <v>208</v>
      </c>
      <c r="G88" s="64">
        <f>'№4'!H338</f>
        <v>208</v>
      </c>
    </row>
    <row r="89" spans="1:7" ht="12.75">
      <c r="A89" s="172" t="s">
        <v>87</v>
      </c>
      <c r="B89" s="172" t="s">
        <v>269</v>
      </c>
      <c r="C89" s="172" t="s">
        <v>93</v>
      </c>
      <c r="D89" s="173" t="s">
        <v>2</v>
      </c>
      <c r="E89" s="64">
        <f>E90</f>
        <v>5836.2</v>
      </c>
      <c r="F89" s="64">
        <f aca="true" t="shared" si="37" ref="F89:G89">F90</f>
        <v>5773.5</v>
      </c>
      <c r="G89" s="64">
        <f t="shared" si="37"/>
        <v>5773.5</v>
      </c>
    </row>
    <row r="90" spans="1:7" ht="82.5">
      <c r="A90" s="172" t="s">
        <v>87</v>
      </c>
      <c r="B90" s="172" t="s">
        <v>266</v>
      </c>
      <c r="C90" s="172" t="s">
        <v>93</v>
      </c>
      <c r="D90" s="173" t="s">
        <v>343</v>
      </c>
      <c r="E90" s="64">
        <f>E91+E92</f>
        <v>5836.2</v>
      </c>
      <c r="F90" s="64">
        <f aca="true" t="shared" si="38" ref="F90:G90">F91+F92</f>
        <v>5773.5</v>
      </c>
      <c r="G90" s="64">
        <f t="shared" si="38"/>
        <v>5773.5</v>
      </c>
    </row>
    <row r="91" spans="1:7" ht="82.5">
      <c r="A91" s="172" t="s">
        <v>87</v>
      </c>
      <c r="B91" s="172" t="s">
        <v>266</v>
      </c>
      <c r="C91" s="172" t="s">
        <v>95</v>
      </c>
      <c r="D91" s="173" t="s">
        <v>3</v>
      </c>
      <c r="E91" s="64">
        <f>'№4'!F342</f>
        <v>5361.2</v>
      </c>
      <c r="F91" s="64">
        <f>'№4'!G342</f>
        <v>5298.5</v>
      </c>
      <c r="G91" s="64">
        <f>'№4'!H342</f>
        <v>5298.5</v>
      </c>
    </row>
    <row r="92" spans="1:7" ht="33">
      <c r="A92" s="172" t="s">
        <v>87</v>
      </c>
      <c r="B92" s="172" t="s">
        <v>266</v>
      </c>
      <c r="C92" s="172" t="s">
        <v>96</v>
      </c>
      <c r="D92" s="173" t="s">
        <v>342</v>
      </c>
      <c r="E92" s="64">
        <f>'№4'!F343</f>
        <v>475</v>
      </c>
      <c r="F92" s="64">
        <f>'№4'!G343</f>
        <v>475</v>
      </c>
      <c r="G92" s="64">
        <f>'№4'!H343</f>
        <v>475</v>
      </c>
    </row>
    <row r="93" spans="1:7" ht="49.5">
      <c r="A93" s="172" t="s">
        <v>87</v>
      </c>
      <c r="B93" s="172" t="s">
        <v>256</v>
      </c>
      <c r="C93" s="172" t="s">
        <v>93</v>
      </c>
      <c r="D93" s="173" t="s">
        <v>426</v>
      </c>
      <c r="E93" s="64">
        <f>E94+E97</f>
        <v>1141</v>
      </c>
      <c r="F93" s="64">
        <f aca="true" t="shared" si="39" ref="F93:G93">F94+F97</f>
        <v>1163.8</v>
      </c>
      <c r="G93" s="64">
        <f t="shared" si="39"/>
        <v>1187</v>
      </c>
    </row>
    <row r="94" spans="1:7" ht="33">
      <c r="A94" s="172" t="s">
        <v>87</v>
      </c>
      <c r="B94" s="172" t="s">
        <v>260</v>
      </c>
      <c r="C94" s="172" t="s">
        <v>93</v>
      </c>
      <c r="D94" s="173" t="s">
        <v>431</v>
      </c>
      <c r="E94" s="64">
        <f>E95</f>
        <v>1114.7</v>
      </c>
      <c r="F94" s="64">
        <f aca="true" t="shared" si="40" ref="F94:G95">F95</f>
        <v>1133.8</v>
      </c>
      <c r="G94" s="64">
        <f t="shared" si="40"/>
        <v>1156</v>
      </c>
    </row>
    <row r="95" spans="1:7" ht="66">
      <c r="A95" s="172" t="s">
        <v>87</v>
      </c>
      <c r="B95" s="172" t="s">
        <v>261</v>
      </c>
      <c r="C95" s="172" t="s">
        <v>93</v>
      </c>
      <c r="D95" s="173" t="s">
        <v>190</v>
      </c>
      <c r="E95" s="64">
        <f>E96</f>
        <v>1114.7</v>
      </c>
      <c r="F95" s="64">
        <f t="shared" si="40"/>
        <v>1133.8</v>
      </c>
      <c r="G95" s="64">
        <f t="shared" si="40"/>
        <v>1156</v>
      </c>
    </row>
    <row r="96" spans="1:7" ht="33">
      <c r="A96" s="172" t="s">
        <v>87</v>
      </c>
      <c r="B96" s="172" t="s">
        <v>261</v>
      </c>
      <c r="C96" s="172" t="s">
        <v>96</v>
      </c>
      <c r="D96" s="173" t="s">
        <v>342</v>
      </c>
      <c r="E96" s="64">
        <f>'№4'!F317</f>
        <v>1114.7</v>
      </c>
      <c r="F96" s="64">
        <f>'№4'!G317</f>
        <v>1133.8</v>
      </c>
      <c r="G96" s="64">
        <f>'№4'!H317</f>
        <v>1156</v>
      </c>
    </row>
    <row r="97" spans="1:7" ht="12.75">
      <c r="A97" s="172" t="s">
        <v>87</v>
      </c>
      <c r="B97" s="172" t="s">
        <v>262</v>
      </c>
      <c r="C97" s="172" t="s">
        <v>93</v>
      </c>
      <c r="D97" s="173" t="s">
        <v>130</v>
      </c>
      <c r="E97" s="64">
        <f>E98</f>
        <v>26.3</v>
      </c>
      <c r="F97" s="64">
        <f aca="true" t="shared" si="41" ref="F97:G98">F98</f>
        <v>30</v>
      </c>
      <c r="G97" s="64">
        <f t="shared" si="41"/>
        <v>31</v>
      </c>
    </row>
    <row r="98" spans="1:7" ht="49.5">
      <c r="A98" s="172" t="s">
        <v>87</v>
      </c>
      <c r="B98" s="172" t="s">
        <v>263</v>
      </c>
      <c r="C98" s="172" t="s">
        <v>93</v>
      </c>
      <c r="D98" s="173" t="s">
        <v>131</v>
      </c>
      <c r="E98" s="64">
        <f>E99</f>
        <v>26.3</v>
      </c>
      <c r="F98" s="64">
        <f t="shared" si="41"/>
        <v>30</v>
      </c>
      <c r="G98" s="64">
        <f t="shared" si="41"/>
        <v>31</v>
      </c>
    </row>
    <row r="99" spans="1:7" ht="33">
      <c r="A99" s="172" t="s">
        <v>87</v>
      </c>
      <c r="B99" s="172" t="s">
        <v>263</v>
      </c>
      <c r="C99" s="172" t="s">
        <v>96</v>
      </c>
      <c r="D99" s="173" t="s">
        <v>342</v>
      </c>
      <c r="E99" s="64">
        <f>'№4'!F321</f>
        <v>26.3</v>
      </c>
      <c r="F99" s="64">
        <f>'№4'!G321</f>
        <v>30</v>
      </c>
      <c r="G99" s="64">
        <f>'№4'!H321</f>
        <v>31</v>
      </c>
    </row>
    <row r="100" spans="1:7" ht="12.75">
      <c r="A100" s="172" t="s">
        <v>87</v>
      </c>
      <c r="B100" s="172" t="s">
        <v>312</v>
      </c>
      <c r="C100" s="172" t="s">
        <v>93</v>
      </c>
      <c r="D100" s="173" t="s">
        <v>429</v>
      </c>
      <c r="E100" s="64">
        <f>E101</f>
        <v>130.1</v>
      </c>
      <c r="F100" s="64">
        <f aca="true" t="shared" si="42" ref="F100:G102">F101</f>
        <v>0</v>
      </c>
      <c r="G100" s="64">
        <f t="shared" si="42"/>
        <v>0</v>
      </c>
    </row>
    <row r="101" spans="1:7" ht="49.5">
      <c r="A101" s="172" t="s">
        <v>87</v>
      </c>
      <c r="B101" s="172" t="s">
        <v>436</v>
      </c>
      <c r="C101" s="172" t="s">
        <v>93</v>
      </c>
      <c r="D101" s="173" t="s">
        <v>437</v>
      </c>
      <c r="E101" s="64">
        <f>E102</f>
        <v>130.1</v>
      </c>
      <c r="F101" s="64">
        <f t="shared" si="42"/>
        <v>0</v>
      </c>
      <c r="G101" s="64">
        <f t="shared" si="42"/>
        <v>0</v>
      </c>
    </row>
    <row r="102" spans="1:7" ht="12.75">
      <c r="A102" s="15" t="s">
        <v>87</v>
      </c>
      <c r="B102" s="31" t="s">
        <v>507</v>
      </c>
      <c r="C102" s="174"/>
      <c r="D102" s="5" t="s">
        <v>508</v>
      </c>
      <c r="E102" s="64">
        <f>E103</f>
        <v>130.1</v>
      </c>
      <c r="F102" s="64">
        <f t="shared" si="42"/>
        <v>0</v>
      </c>
      <c r="G102" s="64">
        <f t="shared" si="42"/>
        <v>0</v>
      </c>
    </row>
    <row r="103" spans="1:7" ht="12.75">
      <c r="A103" s="15" t="s">
        <v>87</v>
      </c>
      <c r="B103" s="31" t="s">
        <v>507</v>
      </c>
      <c r="C103" s="174" t="s">
        <v>97</v>
      </c>
      <c r="D103" s="5" t="s">
        <v>98</v>
      </c>
      <c r="E103" s="64">
        <f>'№4'!F72</f>
        <v>130.1</v>
      </c>
      <c r="F103" s="64">
        <f>'№4'!G72</f>
        <v>0</v>
      </c>
      <c r="G103" s="64">
        <f>'№4'!H72</f>
        <v>0</v>
      </c>
    </row>
    <row r="104" spans="1:7" ht="33">
      <c r="A104" s="60" t="s">
        <v>82</v>
      </c>
      <c r="B104" s="60" t="s">
        <v>93</v>
      </c>
      <c r="C104" s="60" t="s">
        <v>93</v>
      </c>
      <c r="D104" s="3" t="s">
        <v>47</v>
      </c>
      <c r="E104" s="62">
        <f>E105+E113</f>
        <v>8176.3</v>
      </c>
      <c r="F104" s="62">
        <f aca="true" t="shared" si="43" ref="F104:G104">F105+F113</f>
        <v>7918</v>
      </c>
      <c r="G104" s="62">
        <f t="shared" si="43"/>
        <v>7917.7</v>
      </c>
    </row>
    <row r="105" spans="1:7" ht="12.75">
      <c r="A105" s="172" t="s">
        <v>102</v>
      </c>
      <c r="B105" s="172" t="s">
        <v>93</v>
      </c>
      <c r="C105" s="172" t="s">
        <v>93</v>
      </c>
      <c r="D105" s="173" t="s">
        <v>103</v>
      </c>
      <c r="E105" s="64">
        <f>E106</f>
        <v>1540.2</v>
      </c>
      <c r="F105" s="64">
        <f aca="true" t="shared" si="44" ref="F105:G106">F106</f>
        <v>1383.0000000000002</v>
      </c>
      <c r="G105" s="64">
        <f t="shared" si="44"/>
        <v>1382.7</v>
      </c>
    </row>
    <row r="106" spans="1:7" ht="50.25" customHeight="1">
      <c r="A106" s="172" t="s">
        <v>102</v>
      </c>
      <c r="B106" s="172" t="s">
        <v>200</v>
      </c>
      <c r="C106" s="172" t="s">
        <v>93</v>
      </c>
      <c r="D106" s="173" t="s">
        <v>339</v>
      </c>
      <c r="E106" s="64">
        <f>E107</f>
        <v>1540.2</v>
      </c>
      <c r="F106" s="64">
        <f t="shared" si="44"/>
        <v>1383.0000000000002</v>
      </c>
      <c r="G106" s="64">
        <f t="shared" si="44"/>
        <v>1382.7</v>
      </c>
    </row>
    <row r="107" spans="1:7" ht="12.75">
      <c r="A107" s="172" t="s">
        <v>102</v>
      </c>
      <c r="B107" s="172" t="s">
        <v>201</v>
      </c>
      <c r="C107" s="172" t="s">
        <v>93</v>
      </c>
      <c r="D107" s="173" t="s">
        <v>2</v>
      </c>
      <c r="E107" s="64">
        <f>E108+E110</f>
        <v>1540.2</v>
      </c>
      <c r="F107" s="64">
        <f aca="true" t="shared" si="45" ref="F107:G107">F108+F110</f>
        <v>1383.0000000000002</v>
      </c>
      <c r="G107" s="64">
        <f t="shared" si="45"/>
        <v>1382.7</v>
      </c>
    </row>
    <row r="108" spans="1:7" ht="66">
      <c r="A108" s="172" t="s">
        <v>102</v>
      </c>
      <c r="B108" s="172" t="s">
        <v>204</v>
      </c>
      <c r="C108" s="172" t="s">
        <v>93</v>
      </c>
      <c r="D108" s="173" t="s">
        <v>344</v>
      </c>
      <c r="E108" s="64">
        <f>E109</f>
        <v>146.7</v>
      </c>
      <c r="F108" s="64">
        <f aca="true" t="shared" si="46" ref="F108:G108">F109</f>
        <v>131.7</v>
      </c>
      <c r="G108" s="64">
        <f t="shared" si="46"/>
        <v>131.7</v>
      </c>
    </row>
    <row r="109" spans="1:7" ht="82.5">
      <c r="A109" s="172" t="s">
        <v>102</v>
      </c>
      <c r="B109" s="172" t="s">
        <v>204</v>
      </c>
      <c r="C109" s="172" t="s">
        <v>95</v>
      </c>
      <c r="D109" s="173" t="s">
        <v>3</v>
      </c>
      <c r="E109" s="64">
        <f>'№4'!F79</f>
        <v>146.7</v>
      </c>
      <c r="F109" s="64">
        <f>'№4'!G79</f>
        <v>131.7</v>
      </c>
      <c r="G109" s="64">
        <f>'№4'!H79</f>
        <v>131.7</v>
      </c>
    </row>
    <row r="110" spans="1:7" ht="49.5">
      <c r="A110" s="172" t="s">
        <v>102</v>
      </c>
      <c r="B110" s="172" t="s">
        <v>216</v>
      </c>
      <c r="C110" s="172" t="s">
        <v>93</v>
      </c>
      <c r="D110" s="173" t="s">
        <v>359</v>
      </c>
      <c r="E110" s="64">
        <f>E111+E112</f>
        <v>1393.5</v>
      </c>
      <c r="F110" s="64">
        <f aca="true" t="shared" si="47" ref="F110:G110">F111+F112</f>
        <v>1251.3000000000002</v>
      </c>
      <c r="G110" s="64">
        <f t="shared" si="47"/>
        <v>1251</v>
      </c>
    </row>
    <row r="111" spans="1:7" ht="82.5">
      <c r="A111" s="172" t="s">
        <v>102</v>
      </c>
      <c r="B111" s="172" t="s">
        <v>216</v>
      </c>
      <c r="C111" s="172" t="s">
        <v>95</v>
      </c>
      <c r="D111" s="173" t="s">
        <v>3</v>
      </c>
      <c r="E111" s="64">
        <f>'№4'!F81</f>
        <v>1227.9</v>
      </c>
      <c r="F111" s="64">
        <f>'№4'!G81</f>
        <v>1227.9</v>
      </c>
      <c r="G111" s="64">
        <f>'№4'!H81</f>
        <v>1227.9</v>
      </c>
    </row>
    <row r="112" spans="1:7" ht="33">
      <c r="A112" s="172" t="s">
        <v>102</v>
      </c>
      <c r="B112" s="172" t="s">
        <v>216</v>
      </c>
      <c r="C112" s="172" t="s">
        <v>96</v>
      </c>
      <c r="D112" s="173" t="s">
        <v>342</v>
      </c>
      <c r="E112" s="64">
        <f>'№4'!F82</f>
        <v>165.6</v>
      </c>
      <c r="F112" s="64">
        <f>'№4'!G82</f>
        <v>23.4</v>
      </c>
      <c r="G112" s="64">
        <f>'№4'!H82</f>
        <v>23.1</v>
      </c>
    </row>
    <row r="113" spans="1:7" ht="49.5">
      <c r="A113" s="172" t="s">
        <v>73</v>
      </c>
      <c r="B113" s="172"/>
      <c r="C113" s="172"/>
      <c r="D113" s="173" t="s">
        <v>20</v>
      </c>
      <c r="E113" s="64">
        <f>E114+E118</f>
        <v>6636.1</v>
      </c>
      <c r="F113" s="64">
        <f aca="true" t="shared" si="48" ref="F113:G113">F114+F118</f>
        <v>6535</v>
      </c>
      <c r="G113" s="64">
        <f t="shared" si="48"/>
        <v>6535</v>
      </c>
    </row>
    <row r="114" spans="1:7" ht="66">
      <c r="A114" s="172" t="s">
        <v>73</v>
      </c>
      <c r="B114" s="172" t="s">
        <v>200</v>
      </c>
      <c r="C114" s="172"/>
      <c r="D114" s="173" t="s">
        <v>192</v>
      </c>
      <c r="E114" s="64">
        <f>E115</f>
        <v>6537.3</v>
      </c>
      <c r="F114" s="64">
        <f aca="true" t="shared" si="49" ref="F114:G116">F115</f>
        <v>6535</v>
      </c>
      <c r="G114" s="64">
        <f t="shared" si="49"/>
        <v>6535</v>
      </c>
    </row>
    <row r="115" spans="1:7" ht="49.5">
      <c r="A115" s="172" t="s">
        <v>73</v>
      </c>
      <c r="B115" s="172" t="s">
        <v>217</v>
      </c>
      <c r="C115" s="172"/>
      <c r="D115" s="173" t="s">
        <v>162</v>
      </c>
      <c r="E115" s="64">
        <f>E116</f>
        <v>6537.3</v>
      </c>
      <c r="F115" s="64">
        <f t="shared" si="49"/>
        <v>6535</v>
      </c>
      <c r="G115" s="64">
        <f t="shared" si="49"/>
        <v>6535</v>
      </c>
    </row>
    <row r="116" spans="1:7" ht="33">
      <c r="A116" s="172" t="s">
        <v>73</v>
      </c>
      <c r="B116" s="172" t="s">
        <v>218</v>
      </c>
      <c r="C116" s="172"/>
      <c r="D116" s="173" t="s">
        <v>163</v>
      </c>
      <c r="E116" s="64">
        <f>E117</f>
        <v>6537.3</v>
      </c>
      <c r="F116" s="64">
        <f t="shared" si="49"/>
        <v>6535</v>
      </c>
      <c r="G116" s="64">
        <f t="shared" si="49"/>
        <v>6535</v>
      </c>
    </row>
    <row r="117" spans="1:7" ht="33">
      <c r="A117" s="172" t="s">
        <v>73</v>
      </c>
      <c r="B117" s="172" t="s">
        <v>218</v>
      </c>
      <c r="C117" s="172">
        <v>600</v>
      </c>
      <c r="D117" s="173" t="s">
        <v>117</v>
      </c>
      <c r="E117" s="64">
        <f>'№4'!F88</f>
        <v>6537.3</v>
      </c>
      <c r="F117" s="64">
        <f>'№4'!G88</f>
        <v>6535</v>
      </c>
      <c r="G117" s="64">
        <f>'№4'!H88</f>
        <v>6535</v>
      </c>
    </row>
    <row r="118" spans="1:7" ht="12.75">
      <c r="A118" s="172" t="s">
        <v>73</v>
      </c>
      <c r="B118" s="172" t="s">
        <v>312</v>
      </c>
      <c r="C118" s="172" t="s">
        <v>93</v>
      </c>
      <c r="D118" s="173" t="s">
        <v>429</v>
      </c>
      <c r="E118" s="64">
        <f>E119</f>
        <v>98.8</v>
      </c>
      <c r="F118" s="64">
        <f aca="true" t="shared" si="50" ref="F118:G120">F119</f>
        <v>0</v>
      </c>
      <c r="G118" s="64">
        <f t="shared" si="50"/>
        <v>0</v>
      </c>
    </row>
    <row r="119" spans="1:7" ht="12.75">
      <c r="A119" s="172" t="s">
        <v>73</v>
      </c>
      <c r="B119" s="172" t="s">
        <v>430</v>
      </c>
      <c r="C119" s="172" t="s">
        <v>93</v>
      </c>
      <c r="D119" s="173" t="s">
        <v>13</v>
      </c>
      <c r="E119" s="64">
        <f>E120</f>
        <v>98.8</v>
      </c>
      <c r="F119" s="64">
        <f t="shared" si="50"/>
        <v>0</v>
      </c>
      <c r="G119" s="64">
        <f t="shared" si="50"/>
        <v>0</v>
      </c>
    </row>
    <row r="120" spans="1:7" ht="33">
      <c r="A120" s="172" t="s">
        <v>73</v>
      </c>
      <c r="B120" s="172" t="s">
        <v>259</v>
      </c>
      <c r="C120" s="172" t="s">
        <v>93</v>
      </c>
      <c r="D120" s="173" t="s">
        <v>132</v>
      </c>
      <c r="E120" s="64">
        <f>E121</f>
        <v>98.8</v>
      </c>
      <c r="F120" s="64">
        <f t="shared" si="50"/>
        <v>0</v>
      </c>
      <c r="G120" s="64">
        <f t="shared" si="50"/>
        <v>0</v>
      </c>
    </row>
    <row r="121" spans="1:7" ht="33">
      <c r="A121" s="172" t="s">
        <v>73</v>
      </c>
      <c r="B121" s="172" t="s">
        <v>259</v>
      </c>
      <c r="C121" s="172">
        <v>600</v>
      </c>
      <c r="D121" s="173" t="s">
        <v>117</v>
      </c>
      <c r="E121" s="64">
        <f>'№4'!F92</f>
        <v>98.8</v>
      </c>
      <c r="F121" s="64">
        <f>'№4'!G92</f>
        <v>0</v>
      </c>
      <c r="G121" s="64">
        <f>'№4'!H92</f>
        <v>0</v>
      </c>
    </row>
    <row r="122" spans="1:7" ht="12.75">
      <c r="A122" s="60" t="s">
        <v>83</v>
      </c>
      <c r="B122" s="60" t="s">
        <v>93</v>
      </c>
      <c r="C122" s="60" t="s">
        <v>93</v>
      </c>
      <c r="D122" s="3" t="s">
        <v>48</v>
      </c>
      <c r="E122" s="62">
        <f>E128+E133+E163+E123</f>
        <v>114715.40000000002</v>
      </c>
      <c r="F122" s="62">
        <f>F128+F133+F163+F123</f>
        <v>32444.100000000002</v>
      </c>
      <c r="G122" s="62">
        <f>G128+G133+G163+G123</f>
        <v>22185.4</v>
      </c>
    </row>
    <row r="123" spans="1:7" ht="17.25" customHeight="1">
      <c r="A123" s="66" t="s">
        <v>551</v>
      </c>
      <c r="B123" s="63"/>
      <c r="C123" s="63"/>
      <c r="D123" s="173" t="s">
        <v>552</v>
      </c>
      <c r="E123" s="64">
        <f>E124</f>
        <v>256.6</v>
      </c>
      <c r="F123" s="64">
        <f aca="true" t="shared" si="51" ref="F123:G126">F124</f>
        <v>176.4</v>
      </c>
      <c r="G123" s="64">
        <f t="shared" si="51"/>
        <v>182.4</v>
      </c>
    </row>
    <row r="124" spans="1:7" ht="49.5">
      <c r="A124" s="66" t="s">
        <v>551</v>
      </c>
      <c r="B124" s="172" t="s">
        <v>280</v>
      </c>
      <c r="C124" s="172" t="s">
        <v>93</v>
      </c>
      <c r="D124" s="173" t="s">
        <v>399</v>
      </c>
      <c r="E124" s="64">
        <f>E125</f>
        <v>256.6</v>
      </c>
      <c r="F124" s="64">
        <f t="shared" si="51"/>
        <v>176.4</v>
      </c>
      <c r="G124" s="64">
        <f t="shared" si="51"/>
        <v>182.4</v>
      </c>
    </row>
    <row r="125" spans="1:7" ht="66">
      <c r="A125" s="66" t="s">
        <v>551</v>
      </c>
      <c r="B125" s="172" t="s">
        <v>282</v>
      </c>
      <c r="C125" s="172" t="s">
        <v>93</v>
      </c>
      <c r="D125" s="173" t="s">
        <v>469</v>
      </c>
      <c r="E125" s="64">
        <f>E126</f>
        <v>256.6</v>
      </c>
      <c r="F125" s="64">
        <f t="shared" si="51"/>
        <v>176.4</v>
      </c>
      <c r="G125" s="64">
        <f t="shared" si="51"/>
        <v>182.4</v>
      </c>
    </row>
    <row r="126" spans="1:7" ht="33">
      <c r="A126" s="66" t="s">
        <v>551</v>
      </c>
      <c r="B126" s="172" t="s">
        <v>286</v>
      </c>
      <c r="C126" s="172" t="s">
        <v>93</v>
      </c>
      <c r="D126" s="173" t="s">
        <v>472</v>
      </c>
      <c r="E126" s="64">
        <f>E127</f>
        <v>256.6</v>
      </c>
      <c r="F126" s="64">
        <f t="shared" si="51"/>
        <v>176.4</v>
      </c>
      <c r="G126" s="64">
        <f t="shared" si="51"/>
        <v>182.4</v>
      </c>
    </row>
    <row r="127" spans="1:7" ht="33">
      <c r="A127" s="66" t="s">
        <v>551</v>
      </c>
      <c r="B127" s="172" t="s">
        <v>286</v>
      </c>
      <c r="C127" s="172" t="s">
        <v>413</v>
      </c>
      <c r="D127" s="173" t="s">
        <v>414</v>
      </c>
      <c r="E127" s="64">
        <f>'№4'!F382</f>
        <v>256.6</v>
      </c>
      <c r="F127" s="64">
        <f>'№4'!G382</f>
        <v>176.4</v>
      </c>
      <c r="G127" s="64">
        <f>'№4'!H382</f>
        <v>182.4</v>
      </c>
    </row>
    <row r="128" spans="1:7" ht="12.75">
      <c r="A128" s="172" t="s">
        <v>176</v>
      </c>
      <c r="B128" s="172" t="s">
        <v>93</v>
      </c>
      <c r="C128" s="172" t="s">
        <v>93</v>
      </c>
      <c r="D128" s="173" t="s">
        <v>177</v>
      </c>
      <c r="E128" s="64">
        <f>E129</f>
        <v>395.8</v>
      </c>
      <c r="F128" s="64">
        <f aca="true" t="shared" si="52" ref="F128:G131">F129</f>
        <v>395.8</v>
      </c>
      <c r="G128" s="64">
        <f t="shared" si="52"/>
        <v>395.8</v>
      </c>
    </row>
    <row r="129" spans="1:7" ht="49.5">
      <c r="A129" s="172" t="s">
        <v>176</v>
      </c>
      <c r="B129" s="172" t="s">
        <v>219</v>
      </c>
      <c r="C129" s="172" t="s">
        <v>93</v>
      </c>
      <c r="D129" s="173" t="s">
        <v>360</v>
      </c>
      <c r="E129" s="64">
        <f>E130</f>
        <v>395.8</v>
      </c>
      <c r="F129" s="64">
        <f t="shared" si="52"/>
        <v>395.8</v>
      </c>
      <c r="G129" s="64">
        <f t="shared" si="52"/>
        <v>395.8</v>
      </c>
    </row>
    <row r="130" spans="1:7" ht="49.5">
      <c r="A130" s="172" t="s">
        <v>176</v>
      </c>
      <c r="B130" s="172" t="s">
        <v>220</v>
      </c>
      <c r="C130" s="172" t="s">
        <v>93</v>
      </c>
      <c r="D130" s="173" t="s">
        <v>171</v>
      </c>
      <c r="E130" s="64">
        <f>E131</f>
        <v>395.8</v>
      </c>
      <c r="F130" s="64">
        <f t="shared" si="52"/>
        <v>395.8</v>
      </c>
      <c r="G130" s="64">
        <f t="shared" si="52"/>
        <v>395.8</v>
      </c>
    </row>
    <row r="131" spans="1:7" ht="103.5" customHeight="1">
      <c r="A131" s="172" t="s">
        <v>176</v>
      </c>
      <c r="B131" s="172" t="s">
        <v>221</v>
      </c>
      <c r="C131" s="172" t="s">
        <v>93</v>
      </c>
      <c r="D131" s="173" t="s">
        <v>178</v>
      </c>
      <c r="E131" s="64">
        <f>E132</f>
        <v>395.8</v>
      </c>
      <c r="F131" s="64">
        <f t="shared" si="52"/>
        <v>395.8</v>
      </c>
      <c r="G131" s="64">
        <f t="shared" si="52"/>
        <v>395.8</v>
      </c>
    </row>
    <row r="132" spans="1:7" ht="33">
      <c r="A132" s="172" t="s">
        <v>176</v>
      </c>
      <c r="B132" s="172" t="s">
        <v>221</v>
      </c>
      <c r="C132" s="172" t="s">
        <v>96</v>
      </c>
      <c r="D132" s="173" t="s">
        <v>342</v>
      </c>
      <c r="E132" s="64">
        <f>'№4'!F99</f>
        <v>395.8</v>
      </c>
      <c r="F132" s="64">
        <f>'№4'!G99</f>
        <v>395.8</v>
      </c>
      <c r="G132" s="64">
        <f>'№4'!H99</f>
        <v>395.8</v>
      </c>
    </row>
    <row r="133" spans="1:7" ht="12.75">
      <c r="A133" s="172" t="s">
        <v>10</v>
      </c>
      <c r="B133" s="172" t="s">
        <v>93</v>
      </c>
      <c r="C133" s="172" t="s">
        <v>93</v>
      </c>
      <c r="D133" s="173" t="s">
        <v>329</v>
      </c>
      <c r="E133" s="64">
        <f>E134</f>
        <v>112527.80000000002</v>
      </c>
      <c r="F133" s="64">
        <f aca="true" t="shared" si="53" ref="F133:G133">F134</f>
        <v>31128.9</v>
      </c>
      <c r="G133" s="64">
        <f t="shared" si="53"/>
        <v>20859.3</v>
      </c>
    </row>
    <row r="134" spans="1:7" ht="66">
      <c r="A134" s="172" t="s">
        <v>10</v>
      </c>
      <c r="B134" s="172" t="s">
        <v>222</v>
      </c>
      <c r="C134" s="172" t="s">
        <v>93</v>
      </c>
      <c r="D134" s="173" t="s">
        <v>363</v>
      </c>
      <c r="E134" s="64">
        <f>E135+E156</f>
        <v>112527.80000000002</v>
      </c>
      <c r="F134" s="64">
        <f>F135+F156</f>
        <v>31128.9</v>
      </c>
      <c r="G134" s="64">
        <f>G135+G156</f>
        <v>20859.3</v>
      </c>
    </row>
    <row r="135" spans="1:7" ht="49.5">
      <c r="A135" s="172" t="s">
        <v>10</v>
      </c>
      <c r="B135" s="172" t="s">
        <v>223</v>
      </c>
      <c r="C135" s="172" t="s">
        <v>93</v>
      </c>
      <c r="D135" s="173" t="s">
        <v>511</v>
      </c>
      <c r="E135" s="64">
        <f>E136+E140+E142+E152+E144+E148+E150+E154+E138+E146</f>
        <v>108599.80000000002</v>
      </c>
      <c r="F135" s="64">
        <f aca="true" t="shared" si="54" ref="F135:G135">F136+F140+F142+F152+F144+F148+F150+F154+F138+F146</f>
        <v>27628.9</v>
      </c>
      <c r="G135" s="64">
        <f t="shared" si="54"/>
        <v>20859.3</v>
      </c>
    </row>
    <row r="136" spans="1:7" ht="66">
      <c r="A136" s="172" t="s">
        <v>10</v>
      </c>
      <c r="B136" s="172" t="s">
        <v>224</v>
      </c>
      <c r="C136" s="172" t="s">
        <v>93</v>
      </c>
      <c r="D136" s="173" t="s">
        <v>366</v>
      </c>
      <c r="E136" s="64">
        <f>E137</f>
        <v>25181.300000000003</v>
      </c>
      <c r="F136" s="64">
        <f aca="true" t="shared" si="55" ref="F136:G136">F137</f>
        <v>21054.7</v>
      </c>
      <c r="G136" s="64">
        <f t="shared" si="55"/>
        <v>20859.3</v>
      </c>
    </row>
    <row r="137" spans="1:7" ht="33">
      <c r="A137" s="172" t="s">
        <v>10</v>
      </c>
      <c r="B137" s="172" t="s">
        <v>224</v>
      </c>
      <c r="C137" s="172" t="s">
        <v>96</v>
      </c>
      <c r="D137" s="173" t="s">
        <v>342</v>
      </c>
      <c r="E137" s="64">
        <f>'№4'!F105</f>
        <v>25181.300000000003</v>
      </c>
      <c r="F137" s="64">
        <f>'№4'!G105</f>
        <v>21054.7</v>
      </c>
      <c r="G137" s="64">
        <f>'№4'!H105</f>
        <v>20859.3</v>
      </c>
    </row>
    <row r="138" spans="1:7" ht="49.5">
      <c r="A138" s="172" t="s">
        <v>10</v>
      </c>
      <c r="B138" s="172" t="s">
        <v>593</v>
      </c>
      <c r="C138" s="172" t="s">
        <v>93</v>
      </c>
      <c r="D138" s="173" t="s">
        <v>595</v>
      </c>
      <c r="E138" s="64">
        <f>E139</f>
        <v>21150.1</v>
      </c>
      <c r="F138" s="64">
        <f aca="true" t="shared" si="56" ref="F138:G138">F139</f>
        <v>0</v>
      </c>
      <c r="G138" s="64">
        <f t="shared" si="56"/>
        <v>0</v>
      </c>
    </row>
    <row r="139" spans="1:7" ht="33">
      <c r="A139" s="172" t="s">
        <v>10</v>
      </c>
      <c r="B139" s="172" t="s">
        <v>593</v>
      </c>
      <c r="C139" s="172" t="s">
        <v>96</v>
      </c>
      <c r="D139" s="173" t="s">
        <v>342</v>
      </c>
      <c r="E139" s="64">
        <f>'№4'!F108</f>
        <v>21150.1</v>
      </c>
      <c r="F139" s="64">
        <f>'№4'!G108</f>
        <v>0</v>
      </c>
      <c r="G139" s="64">
        <f>'№4'!H108</f>
        <v>0</v>
      </c>
    </row>
    <row r="140" spans="1:7" ht="49.5">
      <c r="A140" s="172" t="s">
        <v>10</v>
      </c>
      <c r="B140" s="172" t="s">
        <v>225</v>
      </c>
      <c r="C140" s="172" t="s">
        <v>93</v>
      </c>
      <c r="D140" s="173" t="s">
        <v>197</v>
      </c>
      <c r="E140" s="64">
        <f>E141</f>
        <v>6380</v>
      </c>
      <c r="F140" s="64">
        <f aca="true" t="shared" si="57" ref="F140:G140">F141</f>
        <v>2400</v>
      </c>
      <c r="G140" s="64">
        <f t="shared" si="57"/>
        <v>0</v>
      </c>
    </row>
    <row r="141" spans="1:7" ht="33">
      <c r="A141" s="172" t="s">
        <v>10</v>
      </c>
      <c r="B141" s="172" t="s">
        <v>225</v>
      </c>
      <c r="C141" s="172" t="s">
        <v>96</v>
      </c>
      <c r="D141" s="173" t="s">
        <v>342</v>
      </c>
      <c r="E141" s="64">
        <f>'№4'!F110</f>
        <v>6380</v>
      </c>
      <c r="F141" s="64">
        <f>'№4'!G110</f>
        <v>2400</v>
      </c>
      <c r="G141" s="64">
        <f>'№4'!H110</f>
        <v>0</v>
      </c>
    </row>
    <row r="142" spans="1:7" ht="33">
      <c r="A142" s="172" t="s">
        <v>10</v>
      </c>
      <c r="B142" s="172" t="s">
        <v>226</v>
      </c>
      <c r="C142" s="172" t="s">
        <v>93</v>
      </c>
      <c r="D142" s="173" t="s">
        <v>369</v>
      </c>
      <c r="E142" s="64">
        <f>E143</f>
        <v>1018.5</v>
      </c>
      <c r="F142" s="64">
        <f aca="true" t="shared" si="58" ref="F142:G142">F143</f>
        <v>4174.2</v>
      </c>
      <c r="G142" s="64">
        <f t="shared" si="58"/>
        <v>0</v>
      </c>
    </row>
    <row r="143" spans="1:7" ht="33">
      <c r="A143" s="172" t="s">
        <v>10</v>
      </c>
      <c r="B143" s="172" t="s">
        <v>226</v>
      </c>
      <c r="C143" s="172" t="s">
        <v>96</v>
      </c>
      <c r="D143" s="173" t="s">
        <v>342</v>
      </c>
      <c r="E143" s="64">
        <f>'№4'!F112</f>
        <v>1018.5</v>
      </c>
      <c r="F143" s="64">
        <f>'№4'!G112</f>
        <v>4174.2</v>
      </c>
      <c r="G143" s="64">
        <f>'№4'!H112</f>
        <v>0</v>
      </c>
    </row>
    <row r="144" spans="1:7" ht="66">
      <c r="A144" s="172" t="s">
        <v>10</v>
      </c>
      <c r="B144" s="172" t="s">
        <v>518</v>
      </c>
      <c r="C144" s="172" t="s">
        <v>93</v>
      </c>
      <c r="D144" s="173" t="s">
        <v>517</v>
      </c>
      <c r="E144" s="64">
        <f>E145</f>
        <v>6092.3</v>
      </c>
      <c r="F144" s="64">
        <f aca="true" t="shared" si="59" ref="F144:G144">F145</f>
        <v>0</v>
      </c>
      <c r="G144" s="64">
        <f t="shared" si="59"/>
        <v>0</v>
      </c>
    </row>
    <row r="145" spans="1:7" ht="33">
      <c r="A145" s="172" t="s">
        <v>10</v>
      </c>
      <c r="B145" s="172" t="s">
        <v>518</v>
      </c>
      <c r="C145" s="172" t="s">
        <v>96</v>
      </c>
      <c r="D145" s="173" t="s">
        <v>342</v>
      </c>
      <c r="E145" s="64">
        <f>'№4'!F114</f>
        <v>6092.3</v>
      </c>
      <c r="F145" s="64">
        <f>'№4'!G114</f>
        <v>0</v>
      </c>
      <c r="G145" s="64">
        <f>'№4'!H114</f>
        <v>0</v>
      </c>
    </row>
    <row r="146" spans="1:7" ht="66">
      <c r="A146" s="172" t="s">
        <v>10</v>
      </c>
      <c r="B146" s="172" t="s">
        <v>592</v>
      </c>
      <c r="C146" s="63"/>
      <c r="D146" s="173" t="s">
        <v>594</v>
      </c>
      <c r="E146" s="64">
        <f>E147</f>
        <v>36095.4</v>
      </c>
      <c r="F146" s="64">
        <f aca="true" t="shared" si="60" ref="F146:G146">F147</f>
        <v>0</v>
      </c>
      <c r="G146" s="64">
        <f t="shared" si="60"/>
        <v>0</v>
      </c>
    </row>
    <row r="147" spans="1:7" ht="33">
      <c r="A147" s="172" t="s">
        <v>10</v>
      </c>
      <c r="B147" s="172" t="s">
        <v>592</v>
      </c>
      <c r="C147" s="172" t="s">
        <v>96</v>
      </c>
      <c r="D147" s="173" t="s">
        <v>342</v>
      </c>
      <c r="E147" s="64">
        <f>'№4'!F117</f>
        <v>36095.4</v>
      </c>
      <c r="F147" s="64">
        <f>'№4'!G117</f>
        <v>0</v>
      </c>
      <c r="G147" s="64">
        <f>'№4'!H117</f>
        <v>0</v>
      </c>
    </row>
    <row r="148" spans="1:7" ht="33">
      <c r="A148" s="172" t="s">
        <v>10</v>
      </c>
      <c r="B148" s="172" t="s">
        <v>539</v>
      </c>
      <c r="C148" s="63"/>
      <c r="D148" s="173" t="s">
        <v>534</v>
      </c>
      <c r="E148" s="64">
        <f>E149</f>
        <v>800</v>
      </c>
      <c r="F148" s="64">
        <f aca="true" t="shared" si="61" ref="F148:G148">F149</f>
        <v>0</v>
      </c>
      <c r="G148" s="64">
        <f t="shared" si="61"/>
        <v>0</v>
      </c>
    </row>
    <row r="149" spans="1:7" ht="33">
      <c r="A149" s="172" t="s">
        <v>10</v>
      </c>
      <c r="B149" s="172" t="s">
        <v>539</v>
      </c>
      <c r="C149" s="172" t="s">
        <v>96</v>
      </c>
      <c r="D149" s="173" t="s">
        <v>342</v>
      </c>
      <c r="E149" s="64">
        <f>'№4'!F119</f>
        <v>800</v>
      </c>
      <c r="F149" s="64">
        <f>'№4'!G119</f>
        <v>0</v>
      </c>
      <c r="G149" s="64">
        <f>'№4'!H119</f>
        <v>0</v>
      </c>
    </row>
    <row r="150" spans="1:7" ht="33">
      <c r="A150" s="172" t="s">
        <v>10</v>
      </c>
      <c r="B150" s="172" t="s">
        <v>538</v>
      </c>
      <c r="C150" s="63"/>
      <c r="D150" s="173" t="s">
        <v>535</v>
      </c>
      <c r="E150" s="64">
        <f>E151</f>
        <v>1172.1</v>
      </c>
      <c r="F150" s="64">
        <f aca="true" t="shared" si="62" ref="F150:G150">F151</f>
        <v>0</v>
      </c>
      <c r="G150" s="64">
        <f t="shared" si="62"/>
        <v>0</v>
      </c>
    </row>
    <row r="151" spans="1:7" ht="33">
      <c r="A151" s="172" t="s">
        <v>10</v>
      </c>
      <c r="B151" s="172" t="s">
        <v>538</v>
      </c>
      <c r="C151" s="172" t="s">
        <v>96</v>
      </c>
      <c r="D151" s="173" t="s">
        <v>342</v>
      </c>
      <c r="E151" s="64">
        <f>'№4'!F121</f>
        <v>1172.1</v>
      </c>
      <c r="F151" s="64">
        <f>'№4'!G121</f>
        <v>0</v>
      </c>
      <c r="G151" s="64">
        <f>'№4'!H121</f>
        <v>0</v>
      </c>
    </row>
    <row r="152" spans="1:7" ht="82.5">
      <c r="A152" s="172" t="s">
        <v>10</v>
      </c>
      <c r="B152" s="172" t="s">
        <v>519</v>
      </c>
      <c r="C152" s="172" t="s">
        <v>93</v>
      </c>
      <c r="D152" s="173" t="s">
        <v>521</v>
      </c>
      <c r="E152" s="64">
        <f>E153</f>
        <v>10632.8</v>
      </c>
      <c r="F152" s="64">
        <f aca="true" t="shared" si="63" ref="F152:G152">F153</f>
        <v>0</v>
      </c>
      <c r="G152" s="64">
        <f t="shared" si="63"/>
        <v>0</v>
      </c>
    </row>
    <row r="153" spans="1:7" ht="33">
      <c r="A153" s="172" t="s">
        <v>10</v>
      </c>
      <c r="B153" s="172" t="s">
        <v>519</v>
      </c>
      <c r="C153" s="172" t="s">
        <v>96</v>
      </c>
      <c r="D153" s="173" t="s">
        <v>342</v>
      </c>
      <c r="E153" s="64">
        <f>'№4'!F123</f>
        <v>10632.8</v>
      </c>
      <c r="F153" s="64">
        <f>'№4'!G123</f>
        <v>0</v>
      </c>
      <c r="G153" s="64">
        <f>'№4'!H123</f>
        <v>0</v>
      </c>
    </row>
    <row r="154" spans="1:7" ht="49.5">
      <c r="A154" s="15" t="s">
        <v>10</v>
      </c>
      <c r="B154" s="6" t="s">
        <v>555</v>
      </c>
      <c r="C154" s="174"/>
      <c r="D154" s="5" t="s">
        <v>556</v>
      </c>
      <c r="E154" s="64">
        <f>E155</f>
        <v>77.3</v>
      </c>
      <c r="F154" s="64">
        <f aca="true" t="shared" si="64" ref="F154:G154">F155</f>
        <v>0</v>
      </c>
      <c r="G154" s="64">
        <f t="shared" si="64"/>
        <v>0</v>
      </c>
    </row>
    <row r="155" spans="1:7" ht="33">
      <c r="A155" s="15" t="s">
        <v>10</v>
      </c>
      <c r="B155" s="6" t="s">
        <v>555</v>
      </c>
      <c r="C155" s="174" t="s">
        <v>96</v>
      </c>
      <c r="D155" s="5" t="s">
        <v>557</v>
      </c>
      <c r="E155" s="64">
        <f>'№4'!F126</f>
        <v>77.3</v>
      </c>
      <c r="F155" s="64">
        <f>'№4'!G126</f>
        <v>0</v>
      </c>
      <c r="G155" s="64">
        <f>'№4'!H126</f>
        <v>0</v>
      </c>
    </row>
    <row r="156" spans="1:7" ht="49.5">
      <c r="A156" s="172" t="s">
        <v>10</v>
      </c>
      <c r="B156" s="172" t="s">
        <v>227</v>
      </c>
      <c r="C156" s="172" t="s">
        <v>93</v>
      </c>
      <c r="D156" s="173" t="s">
        <v>371</v>
      </c>
      <c r="E156" s="64">
        <f>E157+E161+E159</f>
        <v>3928</v>
      </c>
      <c r="F156" s="64">
        <f aca="true" t="shared" si="65" ref="F156:G156">F157+F161+F159</f>
        <v>3500</v>
      </c>
      <c r="G156" s="64">
        <f t="shared" si="65"/>
        <v>0</v>
      </c>
    </row>
    <row r="157" spans="1:7" ht="33">
      <c r="A157" s="172" t="s">
        <v>10</v>
      </c>
      <c r="B157" s="172" t="s">
        <v>228</v>
      </c>
      <c r="C157" s="172" t="s">
        <v>93</v>
      </c>
      <c r="D157" s="173" t="s">
        <v>374</v>
      </c>
      <c r="E157" s="64">
        <f>E158</f>
        <v>3500</v>
      </c>
      <c r="F157" s="64">
        <f aca="true" t="shared" si="66" ref="F157:G157">F158</f>
        <v>3500</v>
      </c>
      <c r="G157" s="64">
        <f t="shared" si="66"/>
        <v>0</v>
      </c>
    </row>
    <row r="158" spans="1:7" ht="33">
      <c r="A158" s="172" t="s">
        <v>10</v>
      </c>
      <c r="B158" s="172" t="s">
        <v>228</v>
      </c>
      <c r="C158" s="172" t="s">
        <v>96</v>
      </c>
      <c r="D158" s="173" t="s">
        <v>342</v>
      </c>
      <c r="E158" s="64">
        <f>'№4'!F130</f>
        <v>3500</v>
      </c>
      <c r="F158" s="64">
        <f>'№4'!G130</f>
        <v>3500</v>
      </c>
      <c r="G158" s="64">
        <f>'№4'!H130</f>
        <v>0</v>
      </c>
    </row>
    <row r="159" spans="1:7" ht="33">
      <c r="A159" s="172" t="s">
        <v>10</v>
      </c>
      <c r="B159" s="6" t="s">
        <v>616</v>
      </c>
      <c r="C159" s="87"/>
      <c r="D159" s="5" t="s">
        <v>617</v>
      </c>
      <c r="E159" s="64">
        <f>E160</f>
        <v>250.7</v>
      </c>
      <c r="F159" s="64">
        <f aca="true" t="shared" si="67" ref="F159:G159">F160</f>
        <v>0</v>
      </c>
      <c r="G159" s="64">
        <f t="shared" si="67"/>
        <v>0</v>
      </c>
    </row>
    <row r="160" spans="1:7" ht="33">
      <c r="A160" s="172" t="s">
        <v>10</v>
      </c>
      <c r="B160" s="172" t="s">
        <v>616</v>
      </c>
      <c r="C160" s="172" t="s">
        <v>96</v>
      </c>
      <c r="D160" s="173" t="s">
        <v>342</v>
      </c>
      <c r="E160" s="64">
        <f>'№4'!F132</f>
        <v>250.7</v>
      </c>
      <c r="F160" s="64">
        <f>'№4'!G132</f>
        <v>0</v>
      </c>
      <c r="G160" s="64">
        <f>'№4'!H132</f>
        <v>0</v>
      </c>
    </row>
    <row r="161" spans="1:7" ht="33">
      <c r="A161" s="172" t="s">
        <v>10</v>
      </c>
      <c r="B161" s="172" t="s">
        <v>611</v>
      </c>
      <c r="C161" s="172" t="s">
        <v>93</v>
      </c>
      <c r="D161" s="173" t="s">
        <v>612</v>
      </c>
      <c r="E161" s="64">
        <f>E162</f>
        <v>177.3</v>
      </c>
      <c r="F161" s="64">
        <f aca="true" t="shared" si="68" ref="F161:G161">F162</f>
        <v>0</v>
      </c>
      <c r="G161" s="64">
        <f t="shared" si="68"/>
        <v>0</v>
      </c>
    </row>
    <row r="162" spans="1:7" ht="33">
      <c r="A162" s="172" t="s">
        <v>10</v>
      </c>
      <c r="B162" s="172" t="s">
        <v>611</v>
      </c>
      <c r="C162" s="172" t="s">
        <v>96</v>
      </c>
      <c r="D162" s="173" t="s">
        <v>342</v>
      </c>
      <c r="E162" s="64">
        <f>'№4'!F134</f>
        <v>177.3</v>
      </c>
      <c r="F162" s="64">
        <f>'№4'!G134</f>
        <v>0</v>
      </c>
      <c r="G162" s="64">
        <f>'№4'!H134</f>
        <v>0</v>
      </c>
    </row>
    <row r="163" spans="1:7" ht="12.75">
      <c r="A163" s="172" t="s">
        <v>74</v>
      </c>
      <c r="B163" s="172" t="s">
        <v>93</v>
      </c>
      <c r="C163" s="172" t="s">
        <v>93</v>
      </c>
      <c r="D163" s="173" t="s">
        <v>49</v>
      </c>
      <c r="E163" s="64">
        <f>E164+E177</f>
        <v>1535.1999999999998</v>
      </c>
      <c r="F163" s="64">
        <f aca="true" t="shared" si="69" ref="F163:G163">F164+F177</f>
        <v>743</v>
      </c>
      <c r="G163" s="64">
        <f t="shared" si="69"/>
        <v>747.9</v>
      </c>
    </row>
    <row r="164" spans="1:7" ht="66">
      <c r="A164" s="172" t="s">
        <v>74</v>
      </c>
      <c r="B164" s="172" t="s">
        <v>229</v>
      </c>
      <c r="C164" s="172" t="s">
        <v>93</v>
      </c>
      <c r="D164" s="173" t="s">
        <v>375</v>
      </c>
      <c r="E164" s="64">
        <f>E165+E172</f>
        <v>575.9</v>
      </c>
      <c r="F164" s="64">
        <f aca="true" t="shared" si="70" ref="F164:G164">F165+F172</f>
        <v>243</v>
      </c>
      <c r="G164" s="64">
        <f t="shared" si="70"/>
        <v>247.9</v>
      </c>
    </row>
    <row r="165" spans="1:7" ht="49.5">
      <c r="A165" s="172" t="s">
        <v>74</v>
      </c>
      <c r="B165" s="172" t="s">
        <v>230</v>
      </c>
      <c r="C165" s="172" t="s">
        <v>93</v>
      </c>
      <c r="D165" s="173" t="s">
        <v>164</v>
      </c>
      <c r="E165" s="64">
        <f>E166+E168+E170</f>
        <v>65.3</v>
      </c>
      <c r="F165" s="64">
        <f aca="true" t="shared" si="71" ref="F165:G165">F166+F168+F170</f>
        <v>66.5</v>
      </c>
      <c r="G165" s="64">
        <f t="shared" si="71"/>
        <v>67.9</v>
      </c>
    </row>
    <row r="166" spans="1:7" ht="49.5">
      <c r="A166" s="172" t="s">
        <v>74</v>
      </c>
      <c r="B166" s="172" t="s">
        <v>231</v>
      </c>
      <c r="C166" s="172" t="s">
        <v>93</v>
      </c>
      <c r="D166" s="173" t="s">
        <v>165</v>
      </c>
      <c r="E166" s="64">
        <f>E167</f>
        <v>26</v>
      </c>
      <c r="F166" s="64">
        <f aca="true" t="shared" si="72" ref="F166:G166">F167</f>
        <v>27.5</v>
      </c>
      <c r="G166" s="64">
        <f t="shared" si="72"/>
        <v>28.1</v>
      </c>
    </row>
    <row r="167" spans="1:7" ht="33">
      <c r="A167" s="172" t="s">
        <v>74</v>
      </c>
      <c r="B167" s="172" t="s">
        <v>231</v>
      </c>
      <c r="C167" s="172" t="s">
        <v>96</v>
      </c>
      <c r="D167" s="173" t="s">
        <v>342</v>
      </c>
      <c r="E167" s="64">
        <f>'№4'!F140</f>
        <v>26</v>
      </c>
      <c r="F167" s="64">
        <f>'№4'!G140</f>
        <v>27.5</v>
      </c>
      <c r="G167" s="64">
        <f>'№4'!H140</f>
        <v>28.1</v>
      </c>
    </row>
    <row r="168" spans="1:7" ht="49.5">
      <c r="A168" s="172" t="s">
        <v>74</v>
      </c>
      <c r="B168" s="172" t="s">
        <v>378</v>
      </c>
      <c r="C168" s="172" t="s">
        <v>93</v>
      </c>
      <c r="D168" s="173" t="s">
        <v>499</v>
      </c>
      <c r="E168" s="64">
        <f>E169</f>
        <v>34</v>
      </c>
      <c r="F168" s="64">
        <f aca="true" t="shared" si="73" ref="F168:G168">F169</f>
        <v>33.7</v>
      </c>
      <c r="G168" s="64">
        <f t="shared" si="73"/>
        <v>34.4</v>
      </c>
    </row>
    <row r="169" spans="1:7" ht="33">
      <c r="A169" s="172" t="s">
        <v>74</v>
      </c>
      <c r="B169" s="172" t="s">
        <v>378</v>
      </c>
      <c r="C169" s="172" t="s">
        <v>96</v>
      </c>
      <c r="D169" s="173" t="s">
        <v>342</v>
      </c>
      <c r="E169" s="64">
        <f>'№4'!F142</f>
        <v>34</v>
      </c>
      <c r="F169" s="64">
        <f>'№4'!G142</f>
        <v>33.7</v>
      </c>
      <c r="G169" s="64">
        <f>'№4'!H142</f>
        <v>34.4</v>
      </c>
    </row>
    <row r="170" spans="1:7" ht="115.5">
      <c r="A170" s="172" t="s">
        <v>74</v>
      </c>
      <c r="B170" s="172" t="s">
        <v>232</v>
      </c>
      <c r="C170" s="172" t="s">
        <v>93</v>
      </c>
      <c r="D170" s="173" t="s">
        <v>381</v>
      </c>
      <c r="E170" s="64">
        <f>E171</f>
        <v>5.3</v>
      </c>
      <c r="F170" s="64">
        <f aca="true" t="shared" si="74" ref="F170:G170">F171</f>
        <v>5.3</v>
      </c>
      <c r="G170" s="64">
        <f t="shared" si="74"/>
        <v>5.4</v>
      </c>
    </row>
    <row r="171" spans="1:7" ht="33">
      <c r="A171" s="172" t="s">
        <v>74</v>
      </c>
      <c r="B171" s="172" t="s">
        <v>232</v>
      </c>
      <c r="C171" s="172" t="s">
        <v>96</v>
      </c>
      <c r="D171" s="173" t="s">
        <v>342</v>
      </c>
      <c r="E171" s="64">
        <f>'№4'!F145</f>
        <v>5.3</v>
      </c>
      <c r="F171" s="64">
        <f>'№4'!G145</f>
        <v>5.3</v>
      </c>
      <c r="G171" s="64">
        <f>'№4'!H145</f>
        <v>5.4</v>
      </c>
    </row>
    <row r="172" spans="1:7" ht="33">
      <c r="A172" s="172" t="s">
        <v>74</v>
      </c>
      <c r="B172" s="172" t="s">
        <v>233</v>
      </c>
      <c r="C172" s="172" t="s">
        <v>93</v>
      </c>
      <c r="D172" s="173" t="s">
        <v>166</v>
      </c>
      <c r="E172" s="64">
        <f>E173+E175</f>
        <v>510.59999999999997</v>
      </c>
      <c r="F172" s="64">
        <f aca="true" t="shared" si="75" ref="F172:G172">F173+F175</f>
        <v>176.5</v>
      </c>
      <c r="G172" s="64">
        <f t="shared" si="75"/>
        <v>180</v>
      </c>
    </row>
    <row r="173" spans="1:7" ht="33">
      <c r="A173" s="172" t="s">
        <v>74</v>
      </c>
      <c r="B173" s="172" t="s">
        <v>234</v>
      </c>
      <c r="C173" s="172" t="s">
        <v>93</v>
      </c>
      <c r="D173" s="173" t="s">
        <v>167</v>
      </c>
      <c r="E173" s="64">
        <f>E174</f>
        <v>379.79999999999995</v>
      </c>
      <c r="F173" s="64">
        <f aca="true" t="shared" si="76" ref="F173:G173">F174</f>
        <v>31.4</v>
      </c>
      <c r="G173" s="64">
        <f t="shared" si="76"/>
        <v>32</v>
      </c>
    </row>
    <row r="174" spans="1:7" ht="33">
      <c r="A174" s="172" t="s">
        <v>74</v>
      </c>
      <c r="B174" s="172" t="s">
        <v>234</v>
      </c>
      <c r="C174" s="172" t="s">
        <v>96</v>
      </c>
      <c r="D174" s="173" t="s">
        <v>342</v>
      </c>
      <c r="E174" s="64">
        <f>'№4'!F149</f>
        <v>379.79999999999995</v>
      </c>
      <c r="F174" s="64">
        <f>'№4'!G149</f>
        <v>31.4</v>
      </c>
      <c r="G174" s="64">
        <f>'№4'!H149</f>
        <v>32</v>
      </c>
    </row>
    <row r="175" spans="1:7" ht="49.5">
      <c r="A175" s="172" t="s">
        <v>74</v>
      </c>
      <c r="B175" s="172" t="s">
        <v>235</v>
      </c>
      <c r="C175" s="172" t="s">
        <v>93</v>
      </c>
      <c r="D175" s="173" t="s">
        <v>168</v>
      </c>
      <c r="E175" s="64">
        <f>E176</f>
        <v>130.8</v>
      </c>
      <c r="F175" s="64">
        <f aca="true" t="shared" si="77" ref="F175:G175">F176</f>
        <v>145.1</v>
      </c>
      <c r="G175" s="64">
        <f t="shared" si="77"/>
        <v>148</v>
      </c>
    </row>
    <row r="176" spans="1:7" ht="12.75">
      <c r="A176" s="172" t="s">
        <v>74</v>
      </c>
      <c r="B176" s="172" t="s">
        <v>235</v>
      </c>
      <c r="C176" s="172" t="s">
        <v>97</v>
      </c>
      <c r="D176" s="173" t="s">
        <v>98</v>
      </c>
      <c r="E176" s="64">
        <f>'№4'!F151</f>
        <v>130.8</v>
      </c>
      <c r="F176" s="64">
        <f>'№4'!G151</f>
        <v>145.1</v>
      </c>
      <c r="G176" s="64">
        <f>'№4'!H151</f>
        <v>148</v>
      </c>
    </row>
    <row r="177" spans="1:7" ht="66">
      <c r="A177" s="172" t="s">
        <v>74</v>
      </c>
      <c r="B177" s="172" t="s">
        <v>264</v>
      </c>
      <c r="C177" s="172" t="s">
        <v>93</v>
      </c>
      <c r="D177" s="173" t="s">
        <v>449</v>
      </c>
      <c r="E177" s="64">
        <f>E178</f>
        <v>959.3</v>
      </c>
      <c r="F177" s="64">
        <f aca="true" t="shared" si="78" ref="F177:G179">F178</f>
        <v>500</v>
      </c>
      <c r="G177" s="64">
        <f t="shared" si="78"/>
        <v>500</v>
      </c>
    </row>
    <row r="178" spans="1:7" ht="49.5">
      <c r="A178" s="172" t="s">
        <v>74</v>
      </c>
      <c r="B178" s="172" t="s">
        <v>265</v>
      </c>
      <c r="C178" s="172" t="s">
        <v>93</v>
      </c>
      <c r="D178" s="173" t="s">
        <v>147</v>
      </c>
      <c r="E178" s="64">
        <f>E179</f>
        <v>959.3</v>
      </c>
      <c r="F178" s="64">
        <f t="shared" si="78"/>
        <v>500</v>
      </c>
      <c r="G178" s="64">
        <f t="shared" si="78"/>
        <v>500</v>
      </c>
    </row>
    <row r="179" spans="1:7" ht="33">
      <c r="A179" s="172" t="s">
        <v>74</v>
      </c>
      <c r="B179" s="172" t="s">
        <v>270</v>
      </c>
      <c r="C179" s="172" t="s">
        <v>93</v>
      </c>
      <c r="D179" s="173" t="s">
        <v>149</v>
      </c>
      <c r="E179" s="64">
        <f>E180</f>
        <v>959.3</v>
      </c>
      <c r="F179" s="64">
        <f t="shared" si="78"/>
        <v>500</v>
      </c>
      <c r="G179" s="64">
        <f t="shared" si="78"/>
        <v>500</v>
      </c>
    </row>
    <row r="180" spans="1:7" ht="33">
      <c r="A180" s="172" t="s">
        <v>74</v>
      </c>
      <c r="B180" s="172" t="s">
        <v>270</v>
      </c>
      <c r="C180" s="172" t="s">
        <v>96</v>
      </c>
      <c r="D180" s="173" t="s">
        <v>342</v>
      </c>
      <c r="E180" s="64">
        <f>'№4'!F350</f>
        <v>959.3</v>
      </c>
      <c r="F180" s="64">
        <f>'№4'!G350</f>
        <v>500</v>
      </c>
      <c r="G180" s="64">
        <f>'№4'!H350</f>
        <v>500</v>
      </c>
    </row>
    <row r="181" spans="1:7" ht="12.75">
      <c r="A181" s="60" t="s">
        <v>84</v>
      </c>
      <c r="B181" s="60" t="s">
        <v>93</v>
      </c>
      <c r="C181" s="60" t="s">
        <v>93</v>
      </c>
      <c r="D181" s="3" t="s">
        <v>50</v>
      </c>
      <c r="E181" s="62">
        <f>E182+E187+E196</f>
        <v>27333.200000000004</v>
      </c>
      <c r="F181" s="62">
        <f>F182+F187+F196</f>
        <v>24795.9</v>
      </c>
      <c r="G181" s="62">
        <f>G182+G187+G196</f>
        <v>16088.4</v>
      </c>
    </row>
    <row r="182" spans="1:7" ht="12.75">
      <c r="A182" s="172" t="s">
        <v>8</v>
      </c>
      <c r="B182" s="172" t="s">
        <v>93</v>
      </c>
      <c r="C182" s="172" t="s">
        <v>93</v>
      </c>
      <c r="D182" s="173" t="s">
        <v>9</v>
      </c>
      <c r="E182" s="64">
        <f>E183</f>
        <v>1524.6</v>
      </c>
      <c r="F182" s="64">
        <f aca="true" t="shared" si="79" ref="F182:G185">F183</f>
        <v>1435.1</v>
      </c>
      <c r="G182" s="64">
        <f t="shared" si="79"/>
        <v>1435.1</v>
      </c>
    </row>
    <row r="183" spans="1:7" ht="66">
      <c r="A183" s="172" t="s">
        <v>8</v>
      </c>
      <c r="B183" s="172" t="s">
        <v>264</v>
      </c>
      <c r="C183" s="172" t="s">
        <v>93</v>
      </c>
      <c r="D183" s="173" t="s">
        <v>449</v>
      </c>
      <c r="E183" s="64">
        <f>E184</f>
        <v>1524.6</v>
      </c>
      <c r="F183" s="64">
        <f t="shared" si="79"/>
        <v>1435.1</v>
      </c>
      <c r="G183" s="64">
        <f t="shared" si="79"/>
        <v>1435.1</v>
      </c>
    </row>
    <row r="184" spans="1:7" ht="49.5">
      <c r="A184" s="172" t="s">
        <v>8</v>
      </c>
      <c r="B184" s="172" t="s">
        <v>265</v>
      </c>
      <c r="C184" s="172" t="s">
        <v>93</v>
      </c>
      <c r="D184" s="173" t="s">
        <v>147</v>
      </c>
      <c r="E184" s="64">
        <f>E185</f>
        <v>1524.6</v>
      </c>
      <c r="F184" s="64">
        <f t="shared" si="79"/>
        <v>1435.1</v>
      </c>
      <c r="G184" s="64">
        <f t="shared" si="79"/>
        <v>1435.1</v>
      </c>
    </row>
    <row r="185" spans="1:7" ht="66">
      <c r="A185" s="172" t="s">
        <v>8</v>
      </c>
      <c r="B185" s="172" t="s">
        <v>271</v>
      </c>
      <c r="C185" s="172" t="s">
        <v>93</v>
      </c>
      <c r="D185" s="173" t="s">
        <v>194</v>
      </c>
      <c r="E185" s="64">
        <f>E186</f>
        <v>1524.6</v>
      </c>
      <c r="F185" s="64">
        <f t="shared" si="79"/>
        <v>1435.1</v>
      </c>
      <c r="G185" s="64">
        <f t="shared" si="79"/>
        <v>1435.1</v>
      </c>
    </row>
    <row r="186" spans="1:7" ht="33">
      <c r="A186" s="172" t="s">
        <v>8</v>
      </c>
      <c r="B186" s="172" t="s">
        <v>271</v>
      </c>
      <c r="C186" s="172" t="s">
        <v>96</v>
      </c>
      <c r="D186" s="173" t="s">
        <v>342</v>
      </c>
      <c r="E186" s="64">
        <f>'№4'!F357</f>
        <v>1524.6</v>
      </c>
      <c r="F186" s="64">
        <f>'№4'!G357</f>
        <v>1435.1</v>
      </c>
      <c r="G186" s="64">
        <f>'№4'!H357</f>
        <v>1435.1</v>
      </c>
    </row>
    <row r="187" spans="1:7" ht="12.75">
      <c r="A187" s="172" t="s">
        <v>75</v>
      </c>
      <c r="B187" s="172" t="s">
        <v>93</v>
      </c>
      <c r="C187" s="172" t="s">
        <v>93</v>
      </c>
      <c r="D187" s="173" t="s">
        <v>51</v>
      </c>
      <c r="E187" s="64">
        <f>E188</f>
        <v>3521</v>
      </c>
      <c r="F187" s="64">
        <f aca="true" t="shared" si="80" ref="F187:G187">F188</f>
        <v>9000</v>
      </c>
      <c r="G187" s="64">
        <f t="shared" si="80"/>
        <v>0</v>
      </c>
    </row>
    <row r="188" spans="1:7" ht="49.5">
      <c r="A188" s="172" t="s">
        <v>75</v>
      </c>
      <c r="B188" s="172" t="s">
        <v>219</v>
      </c>
      <c r="C188" s="172" t="s">
        <v>93</v>
      </c>
      <c r="D188" s="173" t="s">
        <v>360</v>
      </c>
      <c r="E188" s="64">
        <f>E189</f>
        <v>3521</v>
      </c>
      <c r="F188" s="64">
        <f aca="true" t="shared" si="81" ref="F188:G188">F189</f>
        <v>9000</v>
      </c>
      <c r="G188" s="64">
        <f t="shared" si="81"/>
        <v>0</v>
      </c>
    </row>
    <row r="189" spans="1:7" ht="49.5">
      <c r="A189" s="172" t="s">
        <v>75</v>
      </c>
      <c r="B189" s="172" t="s">
        <v>384</v>
      </c>
      <c r="C189" s="172" t="s">
        <v>93</v>
      </c>
      <c r="D189" s="173" t="s">
        <v>385</v>
      </c>
      <c r="E189" s="64">
        <f>E190+E194+E192</f>
        <v>3521</v>
      </c>
      <c r="F189" s="64">
        <f aca="true" t="shared" si="82" ref="F189:G189">F190+F194+F192</f>
        <v>9000</v>
      </c>
      <c r="G189" s="64">
        <f t="shared" si="82"/>
        <v>0</v>
      </c>
    </row>
    <row r="190" spans="1:7" ht="49.5">
      <c r="A190" s="172" t="s">
        <v>75</v>
      </c>
      <c r="B190" s="172" t="s">
        <v>388</v>
      </c>
      <c r="C190" s="172" t="s">
        <v>93</v>
      </c>
      <c r="D190" s="173" t="s">
        <v>389</v>
      </c>
      <c r="E190" s="64">
        <f>E191</f>
        <v>0</v>
      </c>
      <c r="F190" s="64">
        <f aca="true" t="shared" si="83" ref="F190:G190">F191</f>
        <v>9000</v>
      </c>
      <c r="G190" s="64">
        <f t="shared" si="83"/>
        <v>0</v>
      </c>
    </row>
    <row r="191" spans="1:7" ht="49.5">
      <c r="A191" s="172" t="s">
        <v>75</v>
      </c>
      <c r="B191" s="172" t="s">
        <v>388</v>
      </c>
      <c r="C191" s="172" t="s">
        <v>99</v>
      </c>
      <c r="D191" s="173" t="s">
        <v>390</v>
      </c>
      <c r="E191" s="64">
        <f>'№4'!F158</f>
        <v>0</v>
      </c>
      <c r="F191" s="64">
        <f>'№4'!G158</f>
        <v>9000</v>
      </c>
      <c r="G191" s="64">
        <f>'№4'!H158</f>
        <v>0</v>
      </c>
    </row>
    <row r="192" spans="1:7" ht="12.75">
      <c r="A192" s="172" t="s">
        <v>75</v>
      </c>
      <c r="B192" s="172" t="s">
        <v>509</v>
      </c>
      <c r="C192" s="172" t="s">
        <v>93</v>
      </c>
      <c r="D192" s="173" t="s">
        <v>510</v>
      </c>
      <c r="E192" s="64">
        <f>E193</f>
        <v>198</v>
      </c>
      <c r="F192" s="64">
        <f aca="true" t="shared" si="84" ref="F192:G192">F193</f>
        <v>0</v>
      </c>
      <c r="G192" s="64">
        <f t="shared" si="84"/>
        <v>0</v>
      </c>
    </row>
    <row r="193" spans="1:7" ht="49.5">
      <c r="A193" s="172" t="s">
        <v>75</v>
      </c>
      <c r="B193" s="172" t="s">
        <v>509</v>
      </c>
      <c r="C193" s="172" t="s">
        <v>99</v>
      </c>
      <c r="D193" s="173" t="s">
        <v>390</v>
      </c>
      <c r="E193" s="64">
        <f>'№4'!F160</f>
        <v>198</v>
      </c>
      <c r="F193" s="64">
        <f>'№4'!G160</f>
        <v>0</v>
      </c>
      <c r="G193" s="64">
        <f>'№4'!H160</f>
        <v>0</v>
      </c>
    </row>
    <row r="194" spans="1:7" ht="12.75">
      <c r="A194" s="172" t="s">
        <v>75</v>
      </c>
      <c r="B194" s="172" t="s">
        <v>391</v>
      </c>
      <c r="C194" s="172" t="s">
        <v>93</v>
      </c>
      <c r="D194" s="173" t="s">
        <v>392</v>
      </c>
      <c r="E194" s="64">
        <f>E195</f>
        <v>3323</v>
      </c>
      <c r="F194" s="64">
        <f aca="true" t="shared" si="85" ref="F194:G194">F195</f>
        <v>0</v>
      </c>
      <c r="G194" s="64">
        <f t="shared" si="85"/>
        <v>0</v>
      </c>
    </row>
    <row r="195" spans="1:7" ht="33">
      <c r="A195" s="172" t="s">
        <v>75</v>
      </c>
      <c r="B195" s="172" t="s">
        <v>391</v>
      </c>
      <c r="C195" s="172" t="s">
        <v>96</v>
      </c>
      <c r="D195" s="173" t="s">
        <v>342</v>
      </c>
      <c r="E195" s="64">
        <f>'№4'!F162</f>
        <v>3323</v>
      </c>
      <c r="F195" s="64">
        <f>'№4'!G162</f>
        <v>0</v>
      </c>
      <c r="G195" s="64">
        <f>'№4'!H162</f>
        <v>0</v>
      </c>
    </row>
    <row r="196" spans="1:7" ht="12.75">
      <c r="A196" s="172" t="s">
        <v>76</v>
      </c>
      <c r="B196" s="172" t="s">
        <v>93</v>
      </c>
      <c r="C196" s="172" t="s">
        <v>93</v>
      </c>
      <c r="D196" s="173" t="s">
        <v>52</v>
      </c>
      <c r="E196" s="64">
        <f>E197+E219</f>
        <v>22287.600000000006</v>
      </c>
      <c r="F196" s="64">
        <f aca="true" t="shared" si="86" ref="F196:G196">F197+F219</f>
        <v>14360.8</v>
      </c>
      <c r="G196" s="64">
        <f t="shared" si="86"/>
        <v>14653.3</v>
      </c>
    </row>
    <row r="197" spans="1:7" ht="49.5">
      <c r="A197" s="172" t="s">
        <v>76</v>
      </c>
      <c r="B197" s="172" t="s">
        <v>219</v>
      </c>
      <c r="C197" s="172" t="s">
        <v>93</v>
      </c>
      <c r="D197" s="173" t="s">
        <v>360</v>
      </c>
      <c r="E197" s="64">
        <f>E198</f>
        <v>21287.600000000006</v>
      </c>
      <c r="F197" s="64">
        <f aca="true" t="shared" si="87" ref="F197:G197">F198</f>
        <v>14360.8</v>
      </c>
      <c r="G197" s="64">
        <f t="shared" si="87"/>
        <v>14653.3</v>
      </c>
    </row>
    <row r="198" spans="1:7" ht="49.5">
      <c r="A198" s="172" t="s">
        <v>76</v>
      </c>
      <c r="B198" s="172" t="s">
        <v>220</v>
      </c>
      <c r="C198" s="172" t="s">
        <v>93</v>
      </c>
      <c r="D198" s="173" t="s">
        <v>171</v>
      </c>
      <c r="E198" s="64">
        <f>E201+E203+E205+E207+E211+E213+E217+E199+E215+E209</f>
        <v>21287.600000000006</v>
      </c>
      <c r="F198" s="64">
        <f aca="true" t="shared" si="88" ref="F198:G198">F201+F203+F205+F207+F211+F213+F217+F199+F215+F209</f>
        <v>14360.8</v>
      </c>
      <c r="G198" s="64">
        <f t="shared" si="88"/>
        <v>14653.3</v>
      </c>
    </row>
    <row r="199" spans="1:7" ht="33">
      <c r="A199" s="172" t="s">
        <v>76</v>
      </c>
      <c r="B199" s="172" t="s">
        <v>533</v>
      </c>
      <c r="C199" s="172" t="s">
        <v>93</v>
      </c>
      <c r="D199" s="173" t="s">
        <v>534</v>
      </c>
      <c r="E199" s="64">
        <f>E200</f>
        <v>677.9</v>
      </c>
      <c r="F199" s="64">
        <f aca="true" t="shared" si="89" ref="F199:G199">F200</f>
        <v>0</v>
      </c>
      <c r="G199" s="64">
        <f t="shared" si="89"/>
        <v>0</v>
      </c>
    </row>
    <row r="200" spans="1:7" ht="33">
      <c r="A200" s="172" t="s">
        <v>76</v>
      </c>
      <c r="B200" s="172" t="s">
        <v>533</v>
      </c>
      <c r="C200" s="172" t="s">
        <v>96</v>
      </c>
      <c r="D200" s="173" t="s">
        <v>342</v>
      </c>
      <c r="E200" s="64">
        <f>'№4'!F168</f>
        <v>677.9</v>
      </c>
      <c r="F200" s="64">
        <f>'№4'!G168</f>
        <v>0</v>
      </c>
      <c r="G200" s="64">
        <f>'№4'!H168</f>
        <v>0</v>
      </c>
    </row>
    <row r="201" spans="1:7" ht="12.75">
      <c r="A201" s="172" t="s">
        <v>76</v>
      </c>
      <c r="B201" s="172" t="s">
        <v>237</v>
      </c>
      <c r="C201" s="172" t="s">
        <v>93</v>
      </c>
      <c r="D201" s="173" t="s">
        <v>172</v>
      </c>
      <c r="E201" s="64">
        <f>E202</f>
        <v>13545.6</v>
      </c>
      <c r="F201" s="64">
        <f aca="true" t="shared" si="90" ref="F201:G201">F202</f>
        <v>11166</v>
      </c>
      <c r="G201" s="64">
        <f t="shared" si="90"/>
        <v>11250</v>
      </c>
    </row>
    <row r="202" spans="1:7" ht="33">
      <c r="A202" s="172" t="s">
        <v>76</v>
      </c>
      <c r="B202" s="172" t="s">
        <v>237</v>
      </c>
      <c r="C202" s="172" t="s">
        <v>96</v>
      </c>
      <c r="D202" s="173" t="s">
        <v>342</v>
      </c>
      <c r="E202" s="64">
        <f>'№4'!F170</f>
        <v>13545.6</v>
      </c>
      <c r="F202" s="64">
        <f>'№4'!G170</f>
        <v>11166</v>
      </c>
      <c r="G202" s="64">
        <f>'№4'!H170</f>
        <v>11250</v>
      </c>
    </row>
    <row r="203" spans="1:7" ht="33">
      <c r="A203" s="172" t="s">
        <v>76</v>
      </c>
      <c r="B203" s="172" t="s">
        <v>238</v>
      </c>
      <c r="C203" s="172" t="s">
        <v>93</v>
      </c>
      <c r="D203" s="173" t="s">
        <v>173</v>
      </c>
      <c r="E203" s="64">
        <f>E204</f>
        <v>1087.7</v>
      </c>
      <c r="F203" s="64">
        <f aca="true" t="shared" si="91" ref="F203:G203">F204</f>
        <v>900</v>
      </c>
      <c r="G203" s="64">
        <f t="shared" si="91"/>
        <v>900</v>
      </c>
    </row>
    <row r="204" spans="1:7" ht="33">
      <c r="A204" s="172" t="s">
        <v>76</v>
      </c>
      <c r="B204" s="172" t="s">
        <v>238</v>
      </c>
      <c r="C204" s="172" t="s">
        <v>96</v>
      </c>
      <c r="D204" s="173" t="s">
        <v>342</v>
      </c>
      <c r="E204" s="64">
        <f>'№4'!F172</f>
        <v>1087.7</v>
      </c>
      <c r="F204" s="64">
        <f>'№4'!G172</f>
        <v>900</v>
      </c>
      <c r="G204" s="64">
        <f>'№4'!H172</f>
        <v>900</v>
      </c>
    </row>
    <row r="205" spans="1:7" ht="12.75">
      <c r="A205" s="172" t="s">
        <v>76</v>
      </c>
      <c r="B205" s="172" t="s">
        <v>239</v>
      </c>
      <c r="C205" s="172" t="s">
        <v>93</v>
      </c>
      <c r="D205" s="173" t="s">
        <v>174</v>
      </c>
      <c r="E205" s="64">
        <f>E206</f>
        <v>2677.6</v>
      </c>
      <c r="F205" s="64">
        <f aca="true" t="shared" si="92" ref="F205:G205">F206</f>
        <v>1625.1</v>
      </c>
      <c r="G205" s="64">
        <f t="shared" si="92"/>
        <v>1795.4</v>
      </c>
    </row>
    <row r="206" spans="1:7" ht="33">
      <c r="A206" s="172" t="s">
        <v>76</v>
      </c>
      <c r="B206" s="172" t="s">
        <v>239</v>
      </c>
      <c r="C206" s="172" t="s">
        <v>96</v>
      </c>
      <c r="D206" s="173" t="s">
        <v>342</v>
      </c>
      <c r="E206" s="64">
        <f>'№4'!F174</f>
        <v>2677.6</v>
      </c>
      <c r="F206" s="64">
        <f>'№4'!G174</f>
        <v>1625.1</v>
      </c>
      <c r="G206" s="64">
        <f>'№4'!H174</f>
        <v>1795.4</v>
      </c>
    </row>
    <row r="207" spans="1:7" ht="33">
      <c r="A207" s="172" t="s">
        <v>76</v>
      </c>
      <c r="B207" s="172" t="s">
        <v>240</v>
      </c>
      <c r="C207" s="172" t="s">
        <v>93</v>
      </c>
      <c r="D207" s="173" t="s">
        <v>395</v>
      </c>
      <c r="E207" s="64">
        <f>E208</f>
        <v>145.9</v>
      </c>
      <c r="F207" s="64">
        <f aca="true" t="shared" si="93" ref="F207:G207">F208</f>
        <v>145.9</v>
      </c>
      <c r="G207" s="64">
        <f t="shared" si="93"/>
        <v>145.9</v>
      </c>
    </row>
    <row r="208" spans="1:7" ht="33">
      <c r="A208" s="172" t="s">
        <v>76</v>
      </c>
      <c r="B208" s="172" t="s">
        <v>240</v>
      </c>
      <c r="C208" s="172" t="s">
        <v>96</v>
      </c>
      <c r="D208" s="173" t="s">
        <v>342</v>
      </c>
      <c r="E208" s="64">
        <f>'№4'!F176</f>
        <v>145.9</v>
      </c>
      <c r="F208" s="64">
        <f>'№4'!G176</f>
        <v>145.9</v>
      </c>
      <c r="G208" s="64">
        <f>'№4'!H176</f>
        <v>145.9</v>
      </c>
    </row>
    <row r="209" spans="1:7" ht="33">
      <c r="A209" s="172" t="s">
        <v>76</v>
      </c>
      <c r="B209" s="172" t="s">
        <v>558</v>
      </c>
      <c r="C209" s="172" t="s">
        <v>93</v>
      </c>
      <c r="D209" s="173" t="s">
        <v>559</v>
      </c>
      <c r="E209" s="64">
        <f>E210</f>
        <v>258</v>
      </c>
      <c r="F209" s="64">
        <f aca="true" t="shared" si="94" ref="F209:G209">F210</f>
        <v>0</v>
      </c>
      <c r="G209" s="64">
        <f t="shared" si="94"/>
        <v>0</v>
      </c>
    </row>
    <row r="210" spans="1:7" ht="33">
      <c r="A210" s="172" t="s">
        <v>76</v>
      </c>
      <c r="B210" s="172" t="s">
        <v>558</v>
      </c>
      <c r="C210" s="172" t="s">
        <v>96</v>
      </c>
      <c r="D210" s="173" t="s">
        <v>342</v>
      </c>
      <c r="E210" s="64">
        <f>'№4'!F178</f>
        <v>258</v>
      </c>
      <c r="F210" s="64">
        <f>'№4'!G178</f>
        <v>0</v>
      </c>
      <c r="G210" s="64">
        <f>'№4'!H178</f>
        <v>0</v>
      </c>
    </row>
    <row r="211" spans="1:7" ht="49.5">
      <c r="A211" s="172" t="s">
        <v>76</v>
      </c>
      <c r="B211" s="172" t="s">
        <v>396</v>
      </c>
      <c r="C211" s="172" t="s">
        <v>93</v>
      </c>
      <c r="D211" s="173" t="s">
        <v>397</v>
      </c>
      <c r="E211" s="64">
        <f>E212</f>
        <v>1133.4000000000005</v>
      </c>
      <c r="F211" s="64">
        <f aca="true" t="shared" si="95" ref="F211:G211">F212</f>
        <v>0</v>
      </c>
      <c r="G211" s="64">
        <f t="shared" si="95"/>
        <v>0</v>
      </c>
    </row>
    <row r="212" spans="1:7" ht="33">
      <c r="A212" s="172" t="s">
        <v>76</v>
      </c>
      <c r="B212" s="172" t="s">
        <v>396</v>
      </c>
      <c r="C212" s="172" t="s">
        <v>96</v>
      </c>
      <c r="D212" s="173" t="s">
        <v>342</v>
      </c>
      <c r="E212" s="64">
        <f>'№4'!F180</f>
        <v>1133.4000000000005</v>
      </c>
      <c r="F212" s="64">
        <f>'№4'!G180</f>
        <v>0</v>
      </c>
      <c r="G212" s="64">
        <f>'№4'!H180</f>
        <v>0</v>
      </c>
    </row>
    <row r="213" spans="1:7" ht="33">
      <c r="A213" s="172" t="s">
        <v>76</v>
      </c>
      <c r="B213" s="172" t="s">
        <v>309</v>
      </c>
      <c r="C213" s="172" t="s">
        <v>93</v>
      </c>
      <c r="D213" s="173" t="s">
        <v>398</v>
      </c>
      <c r="E213" s="64">
        <f>E214</f>
        <v>0</v>
      </c>
      <c r="F213" s="64">
        <f aca="true" t="shared" si="96" ref="F213:G213">F214</f>
        <v>258</v>
      </c>
      <c r="G213" s="64">
        <f t="shared" si="96"/>
        <v>258</v>
      </c>
    </row>
    <row r="214" spans="1:7" ht="33">
      <c r="A214" s="172" t="s">
        <v>76</v>
      </c>
      <c r="B214" s="172" t="s">
        <v>309</v>
      </c>
      <c r="C214" s="172" t="s">
        <v>96</v>
      </c>
      <c r="D214" s="173" t="s">
        <v>342</v>
      </c>
      <c r="E214" s="64">
        <f>'№4'!F181</f>
        <v>0</v>
      </c>
      <c r="F214" s="64">
        <f>'№4'!G181</f>
        <v>258</v>
      </c>
      <c r="G214" s="64">
        <f>'№4'!H181</f>
        <v>258</v>
      </c>
    </row>
    <row r="215" spans="1:7" ht="33">
      <c r="A215" s="172" t="s">
        <v>76</v>
      </c>
      <c r="B215" s="172" t="s">
        <v>536</v>
      </c>
      <c r="C215" s="172" t="s">
        <v>93</v>
      </c>
      <c r="D215" s="173" t="s">
        <v>535</v>
      </c>
      <c r="E215" s="64">
        <f>E216</f>
        <v>996.3999999999999</v>
      </c>
      <c r="F215" s="64">
        <f aca="true" t="shared" si="97" ref="F215:G215">F216</f>
        <v>0</v>
      </c>
      <c r="G215" s="64">
        <f t="shared" si="97"/>
        <v>0</v>
      </c>
    </row>
    <row r="216" spans="1:7" ht="33">
      <c r="A216" s="172" t="s">
        <v>76</v>
      </c>
      <c r="B216" s="172" t="s">
        <v>536</v>
      </c>
      <c r="C216" s="172" t="s">
        <v>96</v>
      </c>
      <c r="D216" s="173" t="s">
        <v>342</v>
      </c>
      <c r="E216" s="64">
        <f>'№4'!F184</f>
        <v>996.3999999999999</v>
      </c>
      <c r="F216" s="64">
        <f>'№4'!G184</f>
        <v>0</v>
      </c>
      <c r="G216" s="64">
        <f>'№4'!H184</f>
        <v>0</v>
      </c>
    </row>
    <row r="217" spans="1:7" ht="33">
      <c r="A217" s="172" t="s">
        <v>76</v>
      </c>
      <c r="B217" s="172" t="s">
        <v>241</v>
      </c>
      <c r="C217" s="172" t="s">
        <v>93</v>
      </c>
      <c r="D217" s="173" t="s">
        <v>175</v>
      </c>
      <c r="E217" s="64">
        <f>E218</f>
        <v>765.0999999999999</v>
      </c>
      <c r="F217" s="64">
        <f aca="true" t="shared" si="98" ref="F217:G217">F218</f>
        <v>265.8</v>
      </c>
      <c r="G217" s="64">
        <f t="shared" si="98"/>
        <v>304</v>
      </c>
    </row>
    <row r="218" spans="1:7" ht="33">
      <c r="A218" s="172" t="s">
        <v>76</v>
      </c>
      <c r="B218" s="172" t="s">
        <v>241</v>
      </c>
      <c r="C218" s="172" t="s">
        <v>96</v>
      </c>
      <c r="D218" s="173" t="s">
        <v>342</v>
      </c>
      <c r="E218" s="64">
        <f>'№4'!F187</f>
        <v>765.0999999999999</v>
      </c>
      <c r="F218" s="64">
        <f>'№4'!G187</f>
        <v>265.8</v>
      </c>
      <c r="G218" s="64">
        <f>'№4'!H187</f>
        <v>304</v>
      </c>
    </row>
    <row r="219" spans="1:7" ht="12.75">
      <c r="A219" s="172" t="s">
        <v>76</v>
      </c>
      <c r="B219" s="172" t="s">
        <v>312</v>
      </c>
      <c r="C219" s="172" t="s">
        <v>93</v>
      </c>
      <c r="D219" s="173" t="s">
        <v>429</v>
      </c>
      <c r="E219" s="64">
        <f>E223+E220</f>
        <v>1000</v>
      </c>
      <c r="F219" s="64">
        <f aca="true" t="shared" si="99" ref="F219:G219">F223+F220</f>
        <v>0</v>
      </c>
      <c r="G219" s="64">
        <f t="shared" si="99"/>
        <v>0</v>
      </c>
    </row>
    <row r="220" spans="1:7" ht="12.75">
      <c r="A220" s="172" t="s">
        <v>76</v>
      </c>
      <c r="B220" s="172" t="s">
        <v>430</v>
      </c>
      <c r="C220" s="172" t="s">
        <v>93</v>
      </c>
      <c r="D220" s="173" t="s">
        <v>13</v>
      </c>
      <c r="E220" s="64">
        <f>E221</f>
        <v>500</v>
      </c>
      <c r="F220" s="64">
        <f aca="true" t="shared" si="100" ref="F220:G221">F221</f>
        <v>0</v>
      </c>
      <c r="G220" s="64">
        <f t="shared" si="100"/>
        <v>0</v>
      </c>
    </row>
    <row r="221" spans="1:7" ht="33">
      <c r="A221" s="172" t="s">
        <v>76</v>
      </c>
      <c r="B221" s="172" t="s">
        <v>259</v>
      </c>
      <c r="C221" s="172" t="s">
        <v>93</v>
      </c>
      <c r="D221" s="173" t="s">
        <v>132</v>
      </c>
      <c r="E221" s="64">
        <f>E222</f>
        <v>500</v>
      </c>
      <c r="F221" s="64">
        <f t="shared" si="100"/>
        <v>0</v>
      </c>
      <c r="G221" s="64">
        <f t="shared" si="100"/>
        <v>0</v>
      </c>
    </row>
    <row r="222" spans="1:7" ht="33">
      <c r="A222" s="172" t="s">
        <v>76</v>
      </c>
      <c r="B222" s="172" t="s">
        <v>259</v>
      </c>
      <c r="C222" s="172" t="s">
        <v>96</v>
      </c>
      <c r="D222" s="173" t="s">
        <v>342</v>
      </c>
      <c r="E222" s="64">
        <f>'№4'!F191</f>
        <v>500</v>
      </c>
      <c r="F222" s="64">
        <f>'№4'!G191</f>
        <v>0</v>
      </c>
      <c r="G222" s="64">
        <f>'№4'!H191</f>
        <v>0</v>
      </c>
    </row>
    <row r="223" spans="1:7" ht="34.5" customHeight="1">
      <c r="A223" s="172" t="s">
        <v>76</v>
      </c>
      <c r="B223" s="172" t="s">
        <v>436</v>
      </c>
      <c r="C223" s="172" t="s">
        <v>93</v>
      </c>
      <c r="D223" s="173" t="s">
        <v>437</v>
      </c>
      <c r="E223" s="64">
        <f>E224</f>
        <v>500</v>
      </c>
      <c r="F223" s="64">
        <f aca="true" t="shared" si="101" ref="F223:G224">F224</f>
        <v>0</v>
      </c>
      <c r="G223" s="64">
        <f t="shared" si="101"/>
        <v>0</v>
      </c>
    </row>
    <row r="224" spans="1:7" ht="34.5" customHeight="1">
      <c r="A224" s="172" t="s">
        <v>76</v>
      </c>
      <c r="B224" s="172" t="s">
        <v>438</v>
      </c>
      <c r="C224" s="172" t="s">
        <v>93</v>
      </c>
      <c r="D224" s="173" t="s">
        <v>439</v>
      </c>
      <c r="E224" s="64">
        <f>E225</f>
        <v>500</v>
      </c>
      <c r="F224" s="64">
        <f t="shared" si="101"/>
        <v>0</v>
      </c>
      <c r="G224" s="64">
        <f t="shared" si="101"/>
        <v>0</v>
      </c>
    </row>
    <row r="225" spans="1:7" ht="33">
      <c r="A225" s="172" t="s">
        <v>76</v>
      </c>
      <c r="B225" s="172" t="s">
        <v>438</v>
      </c>
      <c r="C225" s="172" t="s">
        <v>96</v>
      </c>
      <c r="D225" s="173" t="s">
        <v>342</v>
      </c>
      <c r="E225" s="64">
        <f>'№4'!F194</f>
        <v>500</v>
      </c>
      <c r="F225" s="64">
        <f>'№4'!G194</f>
        <v>0</v>
      </c>
      <c r="G225" s="64">
        <f>'№4'!H194</f>
        <v>0</v>
      </c>
    </row>
    <row r="226" spans="1:7" ht="12.75">
      <c r="A226" s="60" t="s">
        <v>62</v>
      </c>
      <c r="B226" s="60" t="s">
        <v>93</v>
      </c>
      <c r="C226" s="60" t="s">
        <v>93</v>
      </c>
      <c r="D226" s="61" t="s">
        <v>53</v>
      </c>
      <c r="E226" s="62">
        <f>E227+E248+E279+E324+E353</f>
        <v>474532</v>
      </c>
      <c r="F226" s="62">
        <f>F227+F248+F279+F324+F353</f>
        <v>439427.70000000007</v>
      </c>
      <c r="G226" s="62">
        <f>G227+G248+G279+G324+G353</f>
        <v>434067.50000000006</v>
      </c>
    </row>
    <row r="227" spans="1:7" ht="12.75">
      <c r="A227" s="172" t="s">
        <v>77</v>
      </c>
      <c r="B227" s="172" t="s">
        <v>93</v>
      </c>
      <c r="C227" s="172" t="s">
        <v>93</v>
      </c>
      <c r="D227" s="173" t="s">
        <v>15</v>
      </c>
      <c r="E227" s="64">
        <f>E228+E244</f>
        <v>170700.6</v>
      </c>
      <c r="F227" s="64">
        <f aca="true" t="shared" si="102" ref="F227:G227">F228+F244</f>
        <v>158555.50000000003</v>
      </c>
      <c r="G227" s="64">
        <f t="shared" si="102"/>
        <v>154510.1</v>
      </c>
    </row>
    <row r="228" spans="1:7" ht="49.5">
      <c r="A228" s="172" t="s">
        <v>77</v>
      </c>
      <c r="B228" s="172" t="s">
        <v>280</v>
      </c>
      <c r="C228" s="172" t="s">
        <v>93</v>
      </c>
      <c r="D228" s="173" t="s">
        <v>399</v>
      </c>
      <c r="E228" s="64">
        <f>E229</f>
        <v>170631.80000000002</v>
      </c>
      <c r="F228" s="64">
        <f aca="true" t="shared" si="103" ref="F228:G228">F229</f>
        <v>158555.50000000003</v>
      </c>
      <c r="G228" s="64">
        <f t="shared" si="103"/>
        <v>154510.1</v>
      </c>
    </row>
    <row r="229" spans="1:7" ht="33">
      <c r="A229" s="172" t="s">
        <v>77</v>
      </c>
      <c r="B229" s="172" t="s">
        <v>281</v>
      </c>
      <c r="C229" s="172" t="s">
        <v>93</v>
      </c>
      <c r="D229" s="173" t="s">
        <v>114</v>
      </c>
      <c r="E229" s="64">
        <f>E230+E232+E234+E236+E240+E242+E238</f>
        <v>170631.80000000002</v>
      </c>
      <c r="F229" s="64">
        <f aca="true" t="shared" si="104" ref="F229:G229">F230+F232+F234+F236+F240+F242+F238</f>
        <v>158555.50000000003</v>
      </c>
      <c r="G229" s="64">
        <f t="shared" si="104"/>
        <v>154510.1</v>
      </c>
    </row>
    <row r="230" spans="1:7" ht="66">
      <c r="A230" s="6" t="s">
        <v>77</v>
      </c>
      <c r="B230" s="4" t="s">
        <v>297</v>
      </c>
      <c r="C230" s="4"/>
      <c r="D230" s="5" t="s">
        <v>116</v>
      </c>
      <c r="E230" s="64">
        <f>E231</f>
        <v>93411.2</v>
      </c>
      <c r="F230" s="64">
        <f aca="true" t="shared" si="105" ref="F230:G230">F231</f>
        <v>86119</v>
      </c>
      <c r="G230" s="64">
        <f t="shared" si="105"/>
        <v>86119</v>
      </c>
    </row>
    <row r="231" spans="1:7" ht="33">
      <c r="A231" s="6" t="s">
        <v>77</v>
      </c>
      <c r="B231" s="4" t="s">
        <v>297</v>
      </c>
      <c r="C231" s="174">
        <v>600</v>
      </c>
      <c r="D231" s="5" t="s">
        <v>117</v>
      </c>
      <c r="E231" s="64">
        <f>'№4'!F476</f>
        <v>93411.2</v>
      </c>
      <c r="F231" s="64">
        <f>'№4'!G476</f>
        <v>86119</v>
      </c>
      <c r="G231" s="64">
        <f>'№4'!H476</f>
        <v>86119</v>
      </c>
    </row>
    <row r="232" spans="1:7" ht="66">
      <c r="A232" s="6" t="s">
        <v>77</v>
      </c>
      <c r="B232" s="4" t="s">
        <v>294</v>
      </c>
      <c r="C232" s="4"/>
      <c r="D232" s="21" t="s">
        <v>115</v>
      </c>
      <c r="E232" s="64">
        <f>E233</f>
        <v>68756.70000000001</v>
      </c>
      <c r="F232" s="64">
        <f aca="true" t="shared" si="106" ref="F232:G232">F233</f>
        <v>68391.1</v>
      </c>
      <c r="G232" s="64">
        <f t="shared" si="106"/>
        <v>68391.1</v>
      </c>
    </row>
    <row r="233" spans="1:7" ht="33">
      <c r="A233" s="6" t="s">
        <v>77</v>
      </c>
      <c r="B233" s="4" t="s">
        <v>294</v>
      </c>
      <c r="C233" s="174">
        <v>600</v>
      </c>
      <c r="D233" s="5" t="s">
        <v>117</v>
      </c>
      <c r="E233" s="64">
        <f>'№4'!F478</f>
        <v>68756.70000000001</v>
      </c>
      <c r="F233" s="64">
        <f>'№4'!G478</f>
        <v>68391.1</v>
      </c>
      <c r="G233" s="64">
        <f>'№4'!H478</f>
        <v>68391.1</v>
      </c>
    </row>
    <row r="234" spans="1:7" ht="49.5">
      <c r="A234" s="172" t="s">
        <v>77</v>
      </c>
      <c r="B234" s="172" t="s">
        <v>295</v>
      </c>
      <c r="C234" s="172" t="s">
        <v>93</v>
      </c>
      <c r="D234" s="173" t="s">
        <v>488</v>
      </c>
      <c r="E234" s="64">
        <f>E235</f>
        <v>2777.7</v>
      </c>
      <c r="F234" s="64">
        <f aca="true" t="shared" si="107" ref="F234:G234">F235</f>
        <v>556.7</v>
      </c>
      <c r="G234" s="64">
        <f t="shared" si="107"/>
        <v>0</v>
      </c>
    </row>
    <row r="235" spans="1:7" ht="33">
      <c r="A235" s="172" t="s">
        <v>77</v>
      </c>
      <c r="B235" s="172" t="s">
        <v>295</v>
      </c>
      <c r="C235" s="172" t="s">
        <v>413</v>
      </c>
      <c r="D235" s="173" t="s">
        <v>414</v>
      </c>
      <c r="E235" s="64">
        <f>'№4'!F480</f>
        <v>2777.7</v>
      </c>
      <c r="F235" s="64">
        <f>'№4'!G480</f>
        <v>556.7</v>
      </c>
      <c r="G235" s="64">
        <f>'№4'!H480</f>
        <v>0</v>
      </c>
    </row>
    <row r="236" spans="1:7" ht="49.5">
      <c r="A236" s="172" t="s">
        <v>77</v>
      </c>
      <c r="B236" s="172" t="s">
        <v>296</v>
      </c>
      <c r="C236" s="172" t="s">
        <v>93</v>
      </c>
      <c r="D236" s="173" t="s">
        <v>121</v>
      </c>
      <c r="E236" s="64">
        <f>E237</f>
        <v>2566.4</v>
      </c>
      <c r="F236" s="64">
        <f aca="true" t="shared" si="108" ref="F236:G236">F237</f>
        <v>3488.7</v>
      </c>
      <c r="G236" s="64">
        <f t="shared" si="108"/>
        <v>0</v>
      </c>
    </row>
    <row r="237" spans="1:7" ht="33">
      <c r="A237" s="172" t="s">
        <v>77</v>
      </c>
      <c r="B237" s="172" t="s">
        <v>296</v>
      </c>
      <c r="C237" s="172" t="s">
        <v>413</v>
      </c>
      <c r="D237" s="173" t="s">
        <v>414</v>
      </c>
      <c r="E237" s="64">
        <f>'№4'!F482</f>
        <v>2566.4</v>
      </c>
      <c r="F237" s="64">
        <f>'№4'!G482</f>
        <v>3488.7</v>
      </c>
      <c r="G237" s="64">
        <f>'№4'!H482</f>
        <v>0</v>
      </c>
    </row>
    <row r="238" spans="1:7" ht="49.5">
      <c r="A238" s="172" t="s">
        <v>77</v>
      </c>
      <c r="B238" s="172" t="s">
        <v>710</v>
      </c>
      <c r="C238" s="172"/>
      <c r="D238" s="173" t="s">
        <v>711</v>
      </c>
      <c r="E238" s="64">
        <f>E239</f>
        <v>173.8</v>
      </c>
      <c r="F238" s="64">
        <f aca="true" t="shared" si="109" ref="F238:G238">F239</f>
        <v>0</v>
      </c>
      <c r="G238" s="64">
        <f t="shared" si="109"/>
        <v>0</v>
      </c>
    </row>
    <row r="239" spans="1:7" ht="33">
      <c r="A239" s="172" t="s">
        <v>77</v>
      </c>
      <c r="B239" s="172" t="s">
        <v>710</v>
      </c>
      <c r="C239" s="172" t="s">
        <v>413</v>
      </c>
      <c r="D239" s="173" t="s">
        <v>414</v>
      </c>
      <c r="E239" s="64">
        <f>'№4'!F484</f>
        <v>173.8</v>
      </c>
      <c r="F239" s="64">
        <f>'№4'!G484</f>
        <v>0</v>
      </c>
      <c r="G239" s="64">
        <f>'№4'!H484</f>
        <v>0</v>
      </c>
    </row>
    <row r="240" spans="1:7" ht="82.5">
      <c r="A240" s="172" t="s">
        <v>77</v>
      </c>
      <c r="B240" s="172" t="s">
        <v>543</v>
      </c>
      <c r="C240" s="172" t="s">
        <v>93</v>
      </c>
      <c r="D240" s="173" t="s">
        <v>544</v>
      </c>
      <c r="E240" s="64">
        <f>E241</f>
        <v>90.3</v>
      </c>
      <c r="F240" s="64">
        <f aca="true" t="shared" si="110" ref="F240:G240">F241</f>
        <v>0</v>
      </c>
      <c r="G240" s="64">
        <f t="shared" si="110"/>
        <v>0</v>
      </c>
    </row>
    <row r="241" spans="1:7" ht="33">
      <c r="A241" s="172" t="s">
        <v>77</v>
      </c>
      <c r="B241" s="172" t="s">
        <v>543</v>
      </c>
      <c r="C241" s="172" t="s">
        <v>413</v>
      </c>
      <c r="D241" s="173" t="s">
        <v>414</v>
      </c>
      <c r="E241" s="64">
        <f>'№4'!F486</f>
        <v>90.3</v>
      </c>
      <c r="F241" s="64">
        <f>'№4'!G486</f>
        <v>0</v>
      </c>
      <c r="G241" s="64">
        <f>'№4'!H486</f>
        <v>0</v>
      </c>
    </row>
    <row r="242" spans="1:7" ht="99">
      <c r="A242" s="172" t="s">
        <v>77</v>
      </c>
      <c r="B242" s="172" t="s">
        <v>607</v>
      </c>
      <c r="C242" s="172" t="s">
        <v>93</v>
      </c>
      <c r="D242" s="173" t="s">
        <v>610</v>
      </c>
      <c r="E242" s="64">
        <f>E243</f>
        <v>2855.7</v>
      </c>
      <c r="F242" s="64">
        <f aca="true" t="shared" si="111" ref="F242:G242">F243</f>
        <v>0</v>
      </c>
      <c r="G242" s="64">
        <f t="shared" si="111"/>
        <v>0</v>
      </c>
    </row>
    <row r="243" spans="1:7" ht="33">
      <c r="A243" s="172" t="s">
        <v>77</v>
      </c>
      <c r="B243" s="172" t="s">
        <v>607</v>
      </c>
      <c r="C243" s="172" t="s">
        <v>413</v>
      </c>
      <c r="D243" s="173" t="s">
        <v>414</v>
      </c>
      <c r="E243" s="64">
        <f>'№4'!F488</f>
        <v>2855.7</v>
      </c>
      <c r="F243" s="64">
        <f>'№4'!G488</f>
        <v>0</v>
      </c>
      <c r="G243" s="64">
        <f>'№4'!H488</f>
        <v>0</v>
      </c>
    </row>
    <row r="244" spans="1:7" ht="12.75">
      <c r="A244" s="172" t="s">
        <v>77</v>
      </c>
      <c r="B244" s="31">
        <v>9900000000</v>
      </c>
      <c r="C244" s="89"/>
      <c r="D244" s="32" t="s">
        <v>506</v>
      </c>
      <c r="E244" s="64">
        <f>E245</f>
        <v>68.8</v>
      </c>
      <c r="F244" s="64">
        <f aca="true" t="shared" si="112" ref="F244:G246">F245</f>
        <v>0</v>
      </c>
      <c r="G244" s="64">
        <f t="shared" si="112"/>
        <v>0</v>
      </c>
    </row>
    <row r="245" spans="1:7" ht="49.5">
      <c r="A245" s="172" t="s">
        <v>77</v>
      </c>
      <c r="B245" s="31">
        <v>9950000000</v>
      </c>
      <c r="C245" s="87"/>
      <c r="D245" s="5" t="s">
        <v>625</v>
      </c>
      <c r="E245" s="64">
        <f>E246</f>
        <v>68.8</v>
      </c>
      <c r="F245" s="64">
        <f t="shared" si="112"/>
        <v>0</v>
      </c>
      <c r="G245" s="64">
        <f t="shared" si="112"/>
        <v>0</v>
      </c>
    </row>
    <row r="246" spans="1:7" ht="49.5">
      <c r="A246" s="172" t="s">
        <v>77</v>
      </c>
      <c r="B246" s="31" t="s">
        <v>626</v>
      </c>
      <c r="C246" s="87"/>
      <c r="D246" s="5" t="s">
        <v>627</v>
      </c>
      <c r="E246" s="64">
        <f>E247</f>
        <v>68.8</v>
      </c>
      <c r="F246" s="64">
        <f t="shared" si="112"/>
        <v>0</v>
      </c>
      <c r="G246" s="64">
        <f t="shared" si="112"/>
        <v>0</v>
      </c>
    </row>
    <row r="247" spans="1:7" ht="33">
      <c r="A247" s="172" t="s">
        <v>77</v>
      </c>
      <c r="B247" s="31" t="s">
        <v>626</v>
      </c>
      <c r="C247" s="174">
        <v>600</v>
      </c>
      <c r="D247" s="5" t="s">
        <v>117</v>
      </c>
      <c r="E247" s="64">
        <f>'№4'!F492</f>
        <v>68.8</v>
      </c>
      <c r="F247" s="64">
        <f>'№4'!G492</f>
        <v>0</v>
      </c>
      <c r="G247" s="64">
        <f>'№4'!H492</f>
        <v>0</v>
      </c>
    </row>
    <row r="248" spans="1:7" ht="12.75">
      <c r="A248" s="172" t="s">
        <v>78</v>
      </c>
      <c r="B248" s="172" t="s">
        <v>93</v>
      </c>
      <c r="C248" s="172" t="s">
        <v>93</v>
      </c>
      <c r="D248" s="173" t="s">
        <v>16</v>
      </c>
      <c r="E248" s="64">
        <f>E249+E275</f>
        <v>236693.5</v>
      </c>
      <c r="F248" s="64">
        <f aca="true" t="shared" si="113" ref="F248:G248">F249+F275</f>
        <v>224831.00000000003</v>
      </c>
      <c r="G248" s="64">
        <f t="shared" si="113"/>
        <v>224173.80000000002</v>
      </c>
    </row>
    <row r="249" spans="1:7" ht="49.5">
      <c r="A249" s="172" t="s">
        <v>78</v>
      </c>
      <c r="B249" s="172" t="s">
        <v>280</v>
      </c>
      <c r="C249" s="172" t="s">
        <v>93</v>
      </c>
      <c r="D249" s="173" t="s">
        <v>399</v>
      </c>
      <c r="E249" s="64">
        <f>E250</f>
        <v>236543.5</v>
      </c>
      <c r="F249" s="64">
        <f aca="true" t="shared" si="114" ref="F249:G249">F250</f>
        <v>224831.00000000003</v>
      </c>
      <c r="G249" s="64">
        <f t="shared" si="114"/>
        <v>224173.80000000002</v>
      </c>
    </row>
    <row r="250" spans="1:7" ht="33">
      <c r="A250" s="172" t="s">
        <v>78</v>
      </c>
      <c r="B250" s="172" t="s">
        <v>281</v>
      </c>
      <c r="C250" s="172" t="s">
        <v>93</v>
      </c>
      <c r="D250" s="173" t="s">
        <v>114</v>
      </c>
      <c r="E250" s="64">
        <f>E257+E259+E261+E267+E273+E269+E265+E271+E263+E251+E253+E255</f>
        <v>236543.5</v>
      </c>
      <c r="F250" s="64">
        <f aca="true" t="shared" si="115" ref="F250:G250">F257+F259+F261+F267+F273+F269+F265+F271+F263+F251+F253+F255</f>
        <v>224831.00000000003</v>
      </c>
      <c r="G250" s="64">
        <f t="shared" si="115"/>
        <v>224173.80000000002</v>
      </c>
    </row>
    <row r="251" spans="1:7" ht="66">
      <c r="A251" s="6" t="s">
        <v>78</v>
      </c>
      <c r="B251" s="4" t="s">
        <v>574</v>
      </c>
      <c r="C251" s="4"/>
      <c r="D251" s="14" t="s">
        <v>575</v>
      </c>
      <c r="E251" s="64">
        <f>E252</f>
        <v>4212.5</v>
      </c>
      <c r="F251" s="64">
        <f aca="true" t="shared" si="116" ref="F251:G251">F252</f>
        <v>0</v>
      </c>
      <c r="G251" s="64">
        <f t="shared" si="116"/>
        <v>0</v>
      </c>
    </row>
    <row r="252" spans="1:7" ht="33">
      <c r="A252" s="6" t="s">
        <v>78</v>
      </c>
      <c r="B252" s="4" t="s">
        <v>574</v>
      </c>
      <c r="C252" s="174">
        <v>600</v>
      </c>
      <c r="D252" s="21" t="s">
        <v>117</v>
      </c>
      <c r="E252" s="64">
        <f>'№4'!F498</f>
        <v>4212.5</v>
      </c>
      <c r="F252" s="64">
        <f>'№4'!G498</f>
        <v>0</v>
      </c>
      <c r="G252" s="64">
        <f>'№4'!H498</f>
        <v>0</v>
      </c>
    </row>
    <row r="253" spans="1:7" ht="66">
      <c r="A253" s="6" t="s">
        <v>78</v>
      </c>
      <c r="B253" s="4" t="s">
        <v>579</v>
      </c>
      <c r="C253" s="4"/>
      <c r="D253" s="173" t="s">
        <v>581</v>
      </c>
      <c r="E253" s="64">
        <f>E254</f>
        <v>5153.9</v>
      </c>
      <c r="F253" s="64">
        <f aca="true" t="shared" si="117" ref="F253:G253">F254</f>
        <v>0</v>
      </c>
      <c r="G253" s="64">
        <f t="shared" si="117"/>
        <v>0</v>
      </c>
    </row>
    <row r="254" spans="1:7" ht="33">
      <c r="A254" s="6" t="s">
        <v>78</v>
      </c>
      <c r="B254" s="4" t="s">
        <v>579</v>
      </c>
      <c r="C254" s="174">
        <v>600</v>
      </c>
      <c r="D254" s="21" t="s">
        <v>117</v>
      </c>
      <c r="E254" s="64">
        <f>'№4'!F500</f>
        <v>5153.9</v>
      </c>
      <c r="F254" s="64">
        <f>'№4'!G500</f>
        <v>0</v>
      </c>
      <c r="G254" s="64">
        <f>'№4'!H500</f>
        <v>0</v>
      </c>
    </row>
    <row r="255" spans="1:7" ht="82.5">
      <c r="A255" s="172" t="s">
        <v>78</v>
      </c>
      <c r="B255" s="172" t="s">
        <v>606</v>
      </c>
      <c r="C255" s="172" t="s">
        <v>93</v>
      </c>
      <c r="D255" s="173" t="s">
        <v>609</v>
      </c>
      <c r="E255" s="64">
        <f>E256</f>
        <v>205.9</v>
      </c>
      <c r="F255" s="64">
        <f aca="true" t="shared" si="118" ref="F255:G255">F256</f>
        <v>0</v>
      </c>
      <c r="G255" s="64">
        <f t="shared" si="118"/>
        <v>0</v>
      </c>
    </row>
    <row r="256" spans="1:7" ht="33">
      <c r="A256" s="172" t="s">
        <v>78</v>
      </c>
      <c r="B256" s="172" t="s">
        <v>606</v>
      </c>
      <c r="C256" s="172" t="s">
        <v>413</v>
      </c>
      <c r="D256" s="173" t="s">
        <v>414</v>
      </c>
      <c r="E256" s="64">
        <f>'№4'!F502</f>
        <v>205.9</v>
      </c>
      <c r="F256" s="64">
        <f>'№4'!G502</f>
        <v>0</v>
      </c>
      <c r="G256" s="64">
        <f>'№4'!H502</f>
        <v>0</v>
      </c>
    </row>
    <row r="257" spans="1:7" ht="115.5">
      <c r="A257" s="6" t="s">
        <v>78</v>
      </c>
      <c r="B257" s="4" t="s">
        <v>303</v>
      </c>
      <c r="C257" s="4"/>
      <c r="D257" s="21" t="s">
        <v>129</v>
      </c>
      <c r="E257" s="64">
        <f>E258</f>
        <v>176653</v>
      </c>
      <c r="F257" s="64">
        <f aca="true" t="shared" si="119" ref="F257:G257">F258</f>
        <v>176653</v>
      </c>
      <c r="G257" s="64">
        <f t="shared" si="119"/>
        <v>176653</v>
      </c>
    </row>
    <row r="258" spans="1:7" ht="33">
      <c r="A258" s="6" t="s">
        <v>78</v>
      </c>
      <c r="B258" s="4" t="s">
        <v>303</v>
      </c>
      <c r="C258" s="174">
        <v>600</v>
      </c>
      <c r="D258" s="21" t="s">
        <v>117</v>
      </c>
      <c r="E258" s="64">
        <f>'№4'!F504</f>
        <v>176653</v>
      </c>
      <c r="F258" s="64">
        <f>'№4'!G504</f>
        <v>176653</v>
      </c>
      <c r="G258" s="64">
        <f>'№4'!H504</f>
        <v>176653</v>
      </c>
    </row>
    <row r="259" spans="1:7" ht="66">
      <c r="A259" s="6" t="s">
        <v>78</v>
      </c>
      <c r="B259" s="4" t="s">
        <v>298</v>
      </c>
      <c r="C259" s="4"/>
      <c r="D259" s="21" t="s">
        <v>118</v>
      </c>
      <c r="E259" s="64">
        <f>E260</f>
        <v>37194.7</v>
      </c>
      <c r="F259" s="64">
        <f aca="true" t="shared" si="120" ref="F259:G259">F260</f>
        <v>38502.6</v>
      </c>
      <c r="G259" s="64">
        <f t="shared" si="120"/>
        <v>38502.6</v>
      </c>
    </row>
    <row r="260" spans="1:7" ht="33">
      <c r="A260" s="6" t="s">
        <v>78</v>
      </c>
      <c r="B260" s="4" t="s">
        <v>298</v>
      </c>
      <c r="C260" s="174">
        <v>600</v>
      </c>
      <c r="D260" s="5" t="s">
        <v>117</v>
      </c>
      <c r="E260" s="64">
        <f>'№4'!F506</f>
        <v>37194.7</v>
      </c>
      <c r="F260" s="64">
        <f>'№4'!G506</f>
        <v>38502.6</v>
      </c>
      <c r="G260" s="64">
        <f>'№4'!H506</f>
        <v>38502.6</v>
      </c>
    </row>
    <row r="261" spans="1:7" ht="49.5">
      <c r="A261" s="172" t="s">
        <v>78</v>
      </c>
      <c r="B261" s="172" t="s">
        <v>301</v>
      </c>
      <c r="C261" s="172" t="s">
        <v>93</v>
      </c>
      <c r="D261" s="173" t="s">
        <v>491</v>
      </c>
      <c r="E261" s="64">
        <f>E262</f>
        <v>1004.6</v>
      </c>
      <c r="F261" s="64">
        <f aca="true" t="shared" si="121" ref="F261:G261">F262</f>
        <v>657.2</v>
      </c>
      <c r="G261" s="64">
        <f t="shared" si="121"/>
        <v>0</v>
      </c>
    </row>
    <row r="262" spans="1:7" ht="33">
      <c r="A262" s="172" t="s">
        <v>78</v>
      </c>
      <c r="B262" s="172" t="s">
        <v>301</v>
      </c>
      <c r="C262" s="172" t="s">
        <v>413</v>
      </c>
      <c r="D262" s="173" t="s">
        <v>414</v>
      </c>
      <c r="E262" s="64">
        <f>'№4'!F508</f>
        <v>1004.6</v>
      </c>
      <c r="F262" s="64">
        <f>'№4'!G508</f>
        <v>657.2</v>
      </c>
      <c r="G262" s="64">
        <f>'№4'!H508</f>
        <v>0</v>
      </c>
    </row>
    <row r="263" spans="1:7" ht="49.5">
      <c r="A263" s="172" t="s">
        <v>78</v>
      </c>
      <c r="B263" s="172" t="s">
        <v>564</v>
      </c>
      <c r="C263" s="172" t="s">
        <v>93</v>
      </c>
      <c r="D263" s="173" t="s">
        <v>122</v>
      </c>
      <c r="E263" s="64">
        <f>E264</f>
        <v>1491</v>
      </c>
      <c r="F263" s="64">
        <f aca="true" t="shared" si="122" ref="F263:G263">F264</f>
        <v>0</v>
      </c>
      <c r="G263" s="64">
        <f t="shared" si="122"/>
        <v>0</v>
      </c>
    </row>
    <row r="264" spans="1:7" ht="33">
      <c r="A264" s="172" t="s">
        <v>78</v>
      </c>
      <c r="B264" s="172" t="s">
        <v>564</v>
      </c>
      <c r="C264" s="172" t="s">
        <v>413</v>
      </c>
      <c r="D264" s="173" t="s">
        <v>414</v>
      </c>
      <c r="E264" s="64">
        <f>'№4'!F510</f>
        <v>1491</v>
      </c>
      <c r="F264" s="64">
        <f>'№4'!G510</f>
        <v>0</v>
      </c>
      <c r="G264" s="64">
        <f>'№4'!H510</f>
        <v>0</v>
      </c>
    </row>
    <row r="265" spans="1:7" ht="33">
      <c r="A265" s="172" t="s">
        <v>78</v>
      </c>
      <c r="B265" s="172" t="s">
        <v>545</v>
      </c>
      <c r="C265" s="172" t="s">
        <v>93</v>
      </c>
      <c r="D265" s="173" t="s">
        <v>546</v>
      </c>
      <c r="E265" s="64">
        <f>E266</f>
        <v>850.3</v>
      </c>
      <c r="F265" s="64">
        <f aca="true" t="shared" si="123" ref="F265:G265">F266</f>
        <v>0</v>
      </c>
      <c r="G265" s="64">
        <f t="shared" si="123"/>
        <v>0</v>
      </c>
    </row>
    <row r="266" spans="1:7" ht="33">
      <c r="A266" s="172" t="s">
        <v>78</v>
      </c>
      <c r="B266" s="172" t="s">
        <v>545</v>
      </c>
      <c r="C266" s="172" t="s">
        <v>413</v>
      </c>
      <c r="D266" s="173" t="s">
        <v>414</v>
      </c>
      <c r="E266" s="64">
        <f>'№4'!F512</f>
        <v>850.3</v>
      </c>
      <c r="F266" s="64">
        <f>'№4'!G512</f>
        <v>0</v>
      </c>
      <c r="G266" s="64">
        <f>'№4'!H512</f>
        <v>0</v>
      </c>
    </row>
    <row r="267" spans="1:7" ht="49.5">
      <c r="A267" s="172" t="s">
        <v>78</v>
      </c>
      <c r="B267" s="172" t="s">
        <v>302</v>
      </c>
      <c r="C267" s="172" t="s">
        <v>93</v>
      </c>
      <c r="D267" s="173" t="s">
        <v>123</v>
      </c>
      <c r="E267" s="64">
        <f>E268</f>
        <v>4414</v>
      </c>
      <c r="F267" s="64">
        <f aca="true" t="shared" si="124" ref="F267:G267">F268</f>
        <v>5313.1</v>
      </c>
      <c r="G267" s="64">
        <f t="shared" si="124"/>
        <v>5313.1</v>
      </c>
    </row>
    <row r="268" spans="1:7" ht="33">
      <c r="A268" s="172" t="s">
        <v>78</v>
      </c>
      <c r="B268" s="172" t="s">
        <v>302</v>
      </c>
      <c r="C268" s="172" t="s">
        <v>413</v>
      </c>
      <c r="D268" s="173" t="s">
        <v>414</v>
      </c>
      <c r="E268" s="64">
        <f>'№4'!F514</f>
        <v>4414</v>
      </c>
      <c r="F268" s="64">
        <f>'№4'!G514</f>
        <v>5313.1</v>
      </c>
      <c r="G268" s="64">
        <f>'№4'!H514</f>
        <v>5313.1</v>
      </c>
    </row>
    <row r="269" spans="1:7" ht="66">
      <c r="A269" s="172" t="s">
        <v>78</v>
      </c>
      <c r="B269" s="172" t="s">
        <v>513</v>
      </c>
      <c r="C269" s="172" t="s">
        <v>93</v>
      </c>
      <c r="D269" s="173" t="s">
        <v>512</v>
      </c>
      <c r="E269" s="64">
        <f>E270</f>
        <v>1651.6999999999998</v>
      </c>
      <c r="F269" s="64">
        <f aca="true" t="shared" si="125" ref="F269:G269">F270</f>
        <v>0</v>
      </c>
      <c r="G269" s="64">
        <f t="shared" si="125"/>
        <v>0</v>
      </c>
    </row>
    <row r="270" spans="1:7" ht="33">
      <c r="A270" s="172" t="s">
        <v>78</v>
      </c>
      <c r="B270" s="172" t="s">
        <v>513</v>
      </c>
      <c r="C270" s="172" t="s">
        <v>413</v>
      </c>
      <c r="D270" s="173" t="s">
        <v>414</v>
      </c>
      <c r="E270" s="64">
        <f>'№4'!F516</f>
        <v>1651.6999999999998</v>
      </c>
      <c r="F270" s="64">
        <f>'№4'!G516</f>
        <v>0</v>
      </c>
      <c r="G270" s="64">
        <f>'№4'!H516</f>
        <v>0</v>
      </c>
    </row>
    <row r="271" spans="1:7" ht="49.5">
      <c r="A271" s="172" t="s">
        <v>78</v>
      </c>
      <c r="B271" s="172" t="s">
        <v>549</v>
      </c>
      <c r="C271" s="172" t="s">
        <v>93</v>
      </c>
      <c r="D271" s="173" t="s">
        <v>550</v>
      </c>
      <c r="E271" s="64">
        <f>E272</f>
        <v>2.1</v>
      </c>
      <c r="F271" s="64">
        <f aca="true" t="shared" si="126" ref="F271:G271">F272</f>
        <v>0</v>
      </c>
      <c r="G271" s="64">
        <f t="shared" si="126"/>
        <v>0</v>
      </c>
    </row>
    <row r="272" spans="1:7" ht="33">
      <c r="A272" s="172" t="s">
        <v>78</v>
      </c>
      <c r="B272" s="172" t="s">
        <v>549</v>
      </c>
      <c r="C272" s="172" t="s">
        <v>413</v>
      </c>
      <c r="D272" s="173" t="s">
        <v>414</v>
      </c>
      <c r="E272" s="64">
        <f>'№4'!F518</f>
        <v>2.1</v>
      </c>
      <c r="F272" s="64">
        <f>'№4'!G518</f>
        <v>0</v>
      </c>
      <c r="G272" s="64">
        <f>'№4'!H518</f>
        <v>0</v>
      </c>
    </row>
    <row r="273" spans="1:7" ht="49.5">
      <c r="A273" s="6" t="s">
        <v>78</v>
      </c>
      <c r="B273" s="4" t="s">
        <v>299</v>
      </c>
      <c r="C273" s="4"/>
      <c r="D273" s="21" t="s">
        <v>119</v>
      </c>
      <c r="E273" s="64">
        <f>E274</f>
        <v>3709.7999999999997</v>
      </c>
      <c r="F273" s="64">
        <f aca="true" t="shared" si="127" ref="F273:G273">F274</f>
        <v>3705.1</v>
      </c>
      <c r="G273" s="64">
        <f t="shared" si="127"/>
        <v>3705.1</v>
      </c>
    </row>
    <row r="274" spans="1:7" ht="33">
      <c r="A274" s="6" t="s">
        <v>78</v>
      </c>
      <c r="B274" s="4" t="s">
        <v>299</v>
      </c>
      <c r="C274" s="174">
        <v>600</v>
      </c>
      <c r="D274" s="5" t="s">
        <v>117</v>
      </c>
      <c r="E274" s="64">
        <f>'№4'!F521</f>
        <v>3709.7999999999997</v>
      </c>
      <c r="F274" s="64">
        <f>'№4'!G521</f>
        <v>3705.1</v>
      </c>
      <c r="G274" s="64">
        <f>'№4'!H521</f>
        <v>3705.1</v>
      </c>
    </row>
    <row r="275" spans="1:7" ht="12.75">
      <c r="A275" s="172" t="s">
        <v>78</v>
      </c>
      <c r="B275" s="31">
        <v>9900000000</v>
      </c>
      <c r="C275" s="89"/>
      <c r="D275" s="32" t="s">
        <v>506</v>
      </c>
      <c r="E275" s="64">
        <f>E276</f>
        <v>150</v>
      </c>
      <c r="F275" s="64">
        <f aca="true" t="shared" si="128" ref="F275:G277">F276</f>
        <v>0</v>
      </c>
      <c r="G275" s="64">
        <f t="shared" si="128"/>
        <v>0</v>
      </c>
    </row>
    <row r="276" spans="1:7" ht="49.5">
      <c r="A276" s="6" t="s">
        <v>78</v>
      </c>
      <c r="B276" s="31">
        <v>9950000000</v>
      </c>
      <c r="C276" s="87"/>
      <c r="D276" s="5" t="s">
        <v>625</v>
      </c>
      <c r="E276" s="64">
        <f>E277</f>
        <v>150</v>
      </c>
      <c r="F276" s="64">
        <f t="shared" si="128"/>
        <v>0</v>
      </c>
      <c r="G276" s="64">
        <f t="shared" si="128"/>
        <v>0</v>
      </c>
    </row>
    <row r="277" spans="1:7" ht="49.5">
      <c r="A277" s="6" t="s">
        <v>78</v>
      </c>
      <c r="B277" s="31" t="s">
        <v>626</v>
      </c>
      <c r="C277" s="87"/>
      <c r="D277" s="5" t="s">
        <v>627</v>
      </c>
      <c r="E277" s="64">
        <f>E278</f>
        <v>150</v>
      </c>
      <c r="F277" s="64">
        <f t="shared" si="128"/>
        <v>0</v>
      </c>
      <c r="G277" s="64">
        <f t="shared" si="128"/>
        <v>0</v>
      </c>
    </row>
    <row r="278" spans="1:7" ht="33">
      <c r="A278" s="6" t="s">
        <v>78</v>
      </c>
      <c r="B278" s="31" t="s">
        <v>626</v>
      </c>
      <c r="C278" s="174">
        <v>600</v>
      </c>
      <c r="D278" s="5" t="s">
        <v>117</v>
      </c>
      <c r="E278" s="64">
        <f>'№4'!F525</f>
        <v>150</v>
      </c>
      <c r="F278" s="64">
        <f>'№4'!G525</f>
        <v>0</v>
      </c>
      <c r="G278" s="64">
        <f>'№4'!H525</f>
        <v>0</v>
      </c>
    </row>
    <row r="279" spans="1:7" ht="12.75">
      <c r="A279" s="172" t="s">
        <v>330</v>
      </c>
      <c r="B279" s="172" t="s">
        <v>93</v>
      </c>
      <c r="C279" s="172" t="s">
        <v>93</v>
      </c>
      <c r="D279" s="173" t="s">
        <v>331</v>
      </c>
      <c r="E279" s="64">
        <f>E280+E294+E304+E320</f>
        <v>43737.799999999996</v>
      </c>
      <c r="F279" s="64">
        <f aca="true" t="shared" si="129" ref="F279:G279">F280+F294+F304+F320</f>
        <v>36780.2</v>
      </c>
      <c r="G279" s="64">
        <f t="shared" si="129"/>
        <v>36284.2</v>
      </c>
    </row>
    <row r="280" spans="1:7" ht="49.5">
      <c r="A280" s="172" t="s">
        <v>330</v>
      </c>
      <c r="B280" s="172" t="s">
        <v>280</v>
      </c>
      <c r="C280" s="172" t="s">
        <v>93</v>
      </c>
      <c r="D280" s="173" t="s">
        <v>399</v>
      </c>
      <c r="E280" s="64">
        <f>E281</f>
        <v>11828.6</v>
      </c>
      <c r="F280" s="64">
        <f aca="true" t="shared" si="130" ref="F280:G286">F281</f>
        <v>8282.4</v>
      </c>
      <c r="G280" s="64">
        <f t="shared" si="130"/>
        <v>8282.4</v>
      </c>
    </row>
    <row r="281" spans="1:7" ht="33">
      <c r="A281" s="172" t="s">
        <v>330</v>
      </c>
      <c r="B281" s="172" t="s">
        <v>281</v>
      </c>
      <c r="C281" s="172" t="s">
        <v>93</v>
      </c>
      <c r="D281" s="173" t="s">
        <v>114</v>
      </c>
      <c r="E281" s="64">
        <f>E286+E290+E282+E284+E292+E288</f>
        <v>11828.6</v>
      </c>
      <c r="F281" s="64">
        <f aca="true" t="shared" si="131" ref="F281:G281">F286+F290+F282+F284+F292+F288</f>
        <v>8282.4</v>
      </c>
      <c r="G281" s="64">
        <f t="shared" si="131"/>
        <v>8282.4</v>
      </c>
    </row>
    <row r="282" spans="1:7" ht="54" customHeight="1">
      <c r="A282" s="172" t="s">
        <v>330</v>
      </c>
      <c r="B282" s="4" t="s">
        <v>621</v>
      </c>
      <c r="C282" s="4"/>
      <c r="D282" s="21" t="s">
        <v>622</v>
      </c>
      <c r="E282" s="64">
        <f>E283</f>
        <v>300</v>
      </c>
      <c r="F282" s="64">
        <f aca="true" t="shared" si="132" ref="F282:G282">F283</f>
        <v>0</v>
      </c>
      <c r="G282" s="64">
        <f t="shared" si="132"/>
        <v>0</v>
      </c>
    </row>
    <row r="283" spans="1:7" ht="33">
      <c r="A283" s="172" t="s">
        <v>330</v>
      </c>
      <c r="B283" s="4" t="s">
        <v>621</v>
      </c>
      <c r="C283" s="174">
        <v>600</v>
      </c>
      <c r="D283" s="5" t="s">
        <v>117</v>
      </c>
      <c r="E283" s="64">
        <f>'№4'!F531</f>
        <v>300</v>
      </c>
      <c r="F283" s="64">
        <f>'№4'!G531</f>
        <v>0</v>
      </c>
      <c r="G283" s="64">
        <f>'№4'!H531</f>
        <v>0</v>
      </c>
    </row>
    <row r="284" spans="1:7" ht="66">
      <c r="A284" s="172" t="s">
        <v>330</v>
      </c>
      <c r="B284" s="4" t="s">
        <v>632</v>
      </c>
      <c r="C284" s="174"/>
      <c r="D284" s="173" t="s">
        <v>639</v>
      </c>
      <c r="E284" s="64">
        <f>E285</f>
        <v>2760.1</v>
      </c>
      <c r="F284" s="64">
        <f aca="true" t="shared" si="133" ref="F284:G284">F285</f>
        <v>0</v>
      </c>
      <c r="G284" s="64">
        <f t="shared" si="133"/>
        <v>0</v>
      </c>
    </row>
    <row r="285" spans="1:7" ht="33">
      <c r="A285" s="172" t="s">
        <v>330</v>
      </c>
      <c r="B285" s="4" t="s">
        <v>632</v>
      </c>
      <c r="C285" s="174">
        <v>600</v>
      </c>
      <c r="D285" s="5" t="s">
        <v>117</v>
      </c>
      <c r="E285" s="64">
        <f>'№4'!F533</f>
        <v>2760.1</v>
      </c>
      <c r="F285" s="64">
        <f>'№4'!G533</f>
        <v>0</v>
      </c>
      <c r="G285" s="64">
        <f>'№4'!H533</f>
        <v>0</v>
      </c>
    </row>
    <row r="286" spans="1:7" ht="49.5">
      <c r="A286" s="172" t="s">
        <v>330</v>
      </c>
      <c r="B286" s="4" t="s">
        <v>300</v>
      </c>
      <c r="C286" s="4"/>
      <c r="D286" s="21" t="s">
        <v>120</v>
      </c>
      <c r="E286" s="64">
        <f>E287</f>
        <v>8144.9</v>
      </c>
      <c r="F286" s="64">
        <f t="shared" si="130"/>
        <v>8282.4</v>
      </c>
      <c r="G286" s="64">
        <f t="shared" si="130"/>
        <v>8282.4</v>
      </c>
    </row>
    <row r="287" spans="1:7" ht="33">
      <c r="A287" s="172" t="s">
        <v>330</v>
      </c>
      <c r="B287" s="4" t="s">
        <v>300</v>
      </c>
      <c r="C287" s="174">
        <v>600</v>
      </c>
      <c r="D287" s="5" t="s">
        <v>117</v>
      </c>
      <c r="E287" s="64">
        <f>'№4'!F535</f>
        <v>8144.9</v>
      </c>
      <c r="F287" s="64">
        <f>'№4'!G535</f>
        <v>8282.4</v>
      </c>
      <c r="G287" s="64">
        <f>'№4'!H535</f>
        <v>8282.4</v>
      </c>
    </row>
    <row r="288" spans="1:7" ht="49.5">
      <c r="A288" s="172" t="s">
        <v>330</v>
      </c>
      <c r="B288" s="4" t="s">
        <v>712</v>
      </c>
      <c r="C288" s="174"/>
      <c r="D288" s="5" t="s">
        <v>713</v>
      </c>
      <c r="E288" s="64">
        <f>E289</f>
        <v>448</v>
      </c>
      <c r="F288" s="64">
        <f aca="true" t="shared" si="134" ref="F288:G288">F289</f>
        <v>0</v>
      </c>
      <c r="G288" s="64">
        <f t="shared" si="134"/>
        <v>0</v>
      </c>
    </row>
    <row r="289" spans="1:7" ht="33">
      <c r="A289" s="172" t="s">
        <v>330</v>
      </c>
      <c r="B289" s="4" t="s">
        <v>712</v>
      </c>
      <c r="C289" s="174">
        <v>600</v>
      </c>
      <c r="D289" s="5" t="s">
        <v>117</v>
      </c>
      <c r="E289" s="64">
        <f>'№4'!F537</f>
        <v>448</v>
      </c>
      <c r="F289" s="64">
        <f>'№4'!G537</f>
        <v>0</v>
      </c>
      <c r="G289" s="64">
        <f>'№4'!H537</f>
        <v>0</v>
      </c>
    </row>
    <row r="290" spans="1:7" ht="66">
      <c r="A290" s="172" t="s">
        <v>330</v>
      </c>
      <c r="B290" s="4" t="s">
        <v>547</v>
      </c>
      <c r="C290" s="4"/>
      <c r="D290" s="21" t="s">
        <v>548</v>
      </c>
      <c r="E290" s="64">
        <f>E291</f>
        <v>33.4</v>
      </c>
      <c r="F290" s="64">
        <f aca="true" t="shared" si="135" ref="F290:G290">F291</f>
        <v>0</v>
      </c>
      <c r="G290" s="64">
        <f t="shared" si="135"/>
        <v>0</v>
      </c>
    </row>
    <row r="291" spans="1:7" ht="33">
      <c r="A291" s="172" t="s">
        <v>330</v>
      </c>
      <c r="B291" s="4" t="s">
        <v>547</v>
      </c>
      <c r="C291" s="174">
        <v>600</v>
      </c>
      <c r="D291" s="5" t="s">
        <v>117</v>
      </c>
      <c r="E291" s="64">
        <f>'№4'!F539</f>
        <v>33.4</v>
      </c>
      <c r="F291" s="64">
        <f>'№4'!G539</f>
        <v>0</v>
      </c>
      <c r="G291" s="64">
        <f>'№4'!H539</f>
        <v>0</v>
      </c>
    </row>
    <row r="292" spans="1:7" ht="66">
      <c r="A292" s="172" t="s">
        <v>330</v>
      </c>
      <c r="B292" s="4" t="s">
        <v>631</v>
      </c>
      <c r="C292" s="174"/>
      <c r="D292" s="5" t="s">
        <v>649</v>
      </c>
      <c r="E292" s="64">
        <f>E293</f>
        <v>142.2</v>
      </c>
      <c r="F292" s="64">
        <f aca="true" t="shared" si="136" ref="F292:G292">F293</f>
        <v>0</v>
      </c>
      <c r="G292" s="64">
        <f t="shared" si="136"/>
        <v>0</v>
      </c>
    </row>
    <row r="293" spans="1:7" ht="33">
      <c r="A293" s="172" t="s">
        <v>330</v>
      </c>
      <c r="B293" s="4" t="s">
        <v>631</v>
      </c>
      <c r="C293" s="174">
        <v>600</v>
      </c>
      <c r="D293" s="5" t="s">
        <v>117</v>
      </c>
      <c r="E293" s="64">
        <f>'№4'!F541</f>
        <v>142.2</v>
      </c>
      <c r="F293" s="64">
        <f>'№4'!G541</f>
        <v>0</v>
      </c>
      <c r="G293" s="64">
        <f>'№4'!H541</f>
        <v>0</v>
      </c>
    </row>
    <row r="294" spans="1:7" ht="49.5">
      <c r="A294" s="15" t="s">
        <v>330</v>
      </c>
      <c r="B294" s="4" t="s">
        <v>242</v>
      </c>
      <c r="C294" s="4"/>
      <c r="D294" s="21" t="s">
        <v>150</v>
      </c>
      <c r="E294" s="64">
        <f>E295</f>
        <v>17055.8</v>
      </c>
      <c r="F294" s="64">
        <f aca="true" t="shared" si="137" ref="F294:G298">F295</f>
        <v>15444.3</v>
      </c>
      <c r="G294" s="64">
        <f t="shared" si="137"/>
        <v>15444.3</v>
      </c>
    </row>
    <row r="295" spans="1:7" ht="49.5">
      <c r="A295" s="15" t="s">
        <v>330</v>
      </c>
      <c r="B295" s="4" t="s">
        <v>243</v>
      </c>
      <c r="C295" s="4"/>
      <c r="D295" s="21" t="s">
        <v>151</v>
      </c>
      <c r="E295" s="64">
        <f>E298+E300+E296+E302</f>
        <v>17055.8</v>
      </c>
      <c r="F295" s="64">
        <f aca="true" t="shared" si="138" ref="F295:G295">F298+F300+F296+F302</f>
        <v>15444.3</v>
      </c>
      <c r="G295" s="64">
        <f t="shared" si="138"/>
        <v>15444.3</v>
      </c>
    </row>
    <row r="296" spans="1:7" ht="66">
      <c r="A296" s="15" t="s">
        <v>330</v>
      </c>
      <c r="B296" s="67" t="s">
        <v>682</v>
      </c>
      <c r="C296" s="174"/>
      <c r="D296" s="5" t="s">
        <v>639</v>
      </c>
      <c r="E296" s="64">
        <f>E297</f>
        <v>1554.4</v>
      </c>
      <c r="F296" s="64">
        <f aca="true" t="shared" si="139" ref="F296:G296">F297</f>
        <v>0</v>
      </c>
      <c r="G296" s="64">
        <f t="shared" si="139"/>
        <v>0</v>
      </c>
    </row>
    <row r="297" spans="1:7" ht="33">
      <c r="A297" s="15" t="s">
        <v>330</v>
      </c>
      <c r="B297" s="67" t="s">
        <v>682</v>
      </c>
      <c r="C297" s="67" t="s">
        <v>413</v>
      </c>
      <c r="D297" s="68" t="s">
        <v>414</v>
      </c>
      <c r="E297" s="64">
        <f>'№4'!F200</f>
        <v>1554.4</v>
      </c>
      <c r="F297" s="64">
        <f>'№4'!G200</f>
        <v>0</v>
      </c>
      <c r="G297" s="64">
        <f>'№4'!H200</f>
        <v>0</v>
      </c>
    </row>
    <row r="298" spans="1:7" ht="33">
      <c r="A298" s="15" t="s">
        <v>330</v>
      </c>
      <c r="B298" s="4" t="s">
        <v>244</v>
      </c>
      <c r="C298" s="4"/>
      <c r="D298" s="21" t="s">
        <v>179</v>
      </c>
      <c r="E298" s="64">
        <f>E299</f>
        <v>15330.899999999998</v>
      </c>
      <c r="F298" s="64">
        <f t="shared" si="137"/>
        <v>15444.3</v>
      </c>
      <c r="G298" s="64">
        <f t="shared" si="137"/>
        <v>15444.3</v>
      </c>
    </row>
    <row r="299" spans="1:7" ht="33">
      <c r="A299" s="15" t="s">
        <v>330</v>
      </c>
      <c r="B299" s="4" t="s">
        <v>244</v>
      </c>
      <c r="C299" s="174">
        <v>600</v>
      </c>
      <c r="D299" s="5" t="s">
        <v>117</v>
      </c>
      <c r="E299" s="64">
        <f>'№4'!F203</f>
        <v>15330.899999999998</v>
      </c>
      <c r="F299" s="64">
        <f>'№4'!G203</f>
        <v>15444.3</v>
      </c>
      <c r="G299" s="64">
        <f>'№4'!H203</f>
        <v>15444.3</v>
      </c>
    </row>
    <row r="300" spans="1:7" ht="33">
      <c r="A300" s="15" t="s">
        <v>330</v>
      </c>
      <c r="B300" s="67" t="s">
        <v>678</v>
      </c>
      <c r="C300" s="67" t="s">
        <v>93</v>
      </c>
      <c r="D300" s="68" t="s">
        <v>572</v>
      </c>
      <c r="E300" s="64">
        <f>E301</f>
        <v>41.8</v>
      </c>
      <c r="F300" s="64">
        <f aca="true" t="shared" si="140" ref="F300:G300">F301</f>
        <v>0</v>
      </c>
      <c r="G300" s="64">
        <f t="shared" si="140"/>
        <v>0</v>
      </c>
    </row>
    <row r="301" spans="1:7" ht="33">
      <c r="A301" s="15" t="s">
        <v>330</v>
      </c>
      <c r="B301" s="67" t="s">
        <v>678</v>
      </c>
      <c r="C301" s="67" t="s">
        <v>413</v>
      </c>
      <c r="D301" s="68" t="s">
        <v>414</v>
      </c>
      <c r="E301" s="64">
        <f>'№4'!F205</f>
        <v>41.8</v>
      </c>
      <c r="F301" s="64">
        <f>'№4'!G205</f>
        <v>0</v>
      </c>
      <c r="G301" s="64">
        <f>'№4'!H205</f>
        <v>0</v>
      </c>
    </row>
    <row r="302" spans="1:7" ht="66">
      <c r="A302" s="15" t="s">
        <v>330</v>
      </c>
      <c r="B302" s="67" t="s">
        <v>683</v>
      </c>
      <c r="C302" s="67" t="s">
        <v>93</v>
      </c>
      <c r="D302" s="5" t="s">
        <v>649</v>
      </c>
      <c r="E302" s="64">
        <f>E303</f>
        <v>128.7</v>
      </c>
      <c r="F302" s="64">
        <f aca="true" t="shared" si="141" ref="F302:G302">F303</f>
        <v>0</v>
      </c>
      <c r="G302" s="64">
        <f t="shared" si="141"/>
        <v>0</v>
      </c>
    </row>
    <row r="303" spans="1:7" ht="33">
      <c r="A303" s="15" t="s">
        <v>330</v>
      </c>
      <c r="B303" s="67" t="s">
        <v>683</v>
      </c>
      <c r="C303" s="67" t="s">
        <v>413</v>
      </c>
      <c r="D303" s="68" t="s">
        <v>414</v>
      </c>
      <c r="E303" s="64">
        <f>'№4'!F207</f>
        <v>128.7</v>
      </c>
      <c r="F303" s="64">
        <f>'№4'!G207</f>
        <v>0</v>
      </c>
      <c r="G303" s="64">
        <f>'№4'!H207</f>
        <v>0</v>
      </c>
    </row>
    <row r="304" spans="1:7" ht="49.5">
      <c r="A304" s="172" t="s">
        <v>330</v>
      </c>
      <c r="B304" s="172" t="s">
        <v>276</v>
      </c>
      <c r="C304" s="172" t="s">
        <v>93</v>
      </c>
      <c r="D304" s="173" t="s">
        <v>464</v>
      </c>
      <c r="E304" s="64">
        <f>E305</f>
        <v>14691.8</v>
      </c>
      <c r="F304" s="64">
        <f aca="true" t="shared" si="142" ref="F304:G304">F305</f>
        <v>13053.5</v>
      </c>
      <c r="G304" s="64">
        <f t="shared" si="142"/>
        <v>12557.5</v>
      </c>
    </row>
    <row r="305" spans="1:7" ht="33">
      <c r="A305" s="172" t="s">
        <v>330</v>
      </c>
      <c r="B305" s="172" t="s">
        <v>277</v>
      </c>
      <c r="C305" s="172" t="s">
        <v>93</v>
      </c>
      <c r="D305" s="173" t="s">
        <v>139</v>
      </c>
      <c r="E305" s="64">
        <f>E310+E312+E314+E316+E306+E308+E318</f>
        <v>14691.8</v>
      </c>
      <c r="F305" s="64">
        <f aca="true" t="shared" si="143" ref="F305:G305">F310+F312+F314+F316+F306+F308+F318</f>
        <v>13053.5</v>
      </c>
      <c r="G305" s="64">
        <f t="shared" si="143"/>
        <v>12557.5</v>
      </c>
    </row>
    <row r="306" spans="1:7" ht="72.75" customHeight="1">
      <c r="A306" s="172" t="s">
        <v>330</v>
      </c>
      <c r="B306" s="172" t="s">
        <v>619</v>
      </c>
      <c r="C306" s="172" t="s">
        <v>93</v>
      </c>
      <c r="D306" s="173" t="s">
        <v>620</v>
      </c>
      <c r="E306" s="64">
        <f>E307</f>
        <v>300</v>
      </c>
      <c r="F306" s="64">
        <f aca="true" t="shared" si="144" ref="F306:G306">F307</f>
        <v>0</v>
      </c>
      <c r="G306" s="64">
        <f t="shared" si="144"/>
        <v>0</v>
      </c>
    </row>
    <row r="307" spans="1:7" ht="33">
      <c r="A307" s="172" t="s">
        <v>330</v>
      </c>
      <c r="B307" s="172" t="s">
        <v>619</v>
      </c>
      <c r="C307" s="172" t="s">
        <v>413</v>
      </c>
      <c r="D307" s="173" t="s">
        <v>414</v>
      </c>
      <c r="E307" s="64">
        <f>'№4'!F392</f>
        <v>300</v>
      </c>
      <c r="F307" s="64">
        <f>'№4'!G392</f>
        <v>0</v>
      </c>
      <c r="G307" s="64">
        <f>'№4'!H392</f>
        <v>0</v>
      </c>
    </row>
    <row r="308" spans="1:7" ht="66">
      <c r="A308" s="172" t="s">
        <v>330</v>
      </c>
      <c r="B308" s="172" t="s">
        <v>633</v>
      </c>
      <c r="C308" s="172" t="s">
        <v>93</v>
      </c>
      <c r="D308" s="5" t="s">
        <v>639</v>
      </c>
      <c r="E308" s="64">
        <f>E309</f>
        <v>1174</v>
      </c>
      <c r="F308" s="64">
        <f aca="true" t="shared" si="145" ref="F308:G308">F309</f>
        <v>0</v>
      </c>
      <c r="G308" s="64">
        <f t="shared" si="145"/>
        <v>0</v>
      </c>
    </row>
    <row r="309" spans="1:7" ht="33">
      <c r="A309" s="172" t="s">
        <v>330</v>
      </c>
      <c r="B309" s="172" t="s">
        <v>633</v>
      </c>
      <c r="C309" s="172" t="s">
        <v>413</v>
      </c>
      <c r="D309" s="173" t="s">
        <v>414</v>
      </c>
      <c r="E309" s="64">
        <f>'№4'!F394</f>
        <v>1174</v>
      </c>
      <c r="F309" s="64">
        <f>'№4'!G394</f>
        <v>0</v>
      </c>
      <c r="G309" s="64">
        <f>'№4'!H394</f>
        <v>0</v>
      </c>
    </row>
    <row r="310" spans="1:7" ht="66">
      <c r="A310" s="6" t="s">
        <v>330</v>
      </c>
      <c r="B310" s="6" t="s">
        <v>278</v>
      </c>
      <c r="C310" s="174"/>
      <c r="D310" s="5" t="s">
        <v>140</v>
      </c>
      <c r="E310" s="64">
        <f>E311</f>
        <v>12457</v>
      </c>
      <c r="F310" s="64">
        <f aca="true" t="shared" si="146" ref="F310:G310">F311</f>
        <v>12517.9</v>
      </c>
      <c r="G310" s="64">
        <f t="shared" si="146"/>
        <v>12517.9</v>
      </c>
    </row>
    <row r="311" spans="1:7" ht="33">
      <c r="A311" s="6" t="s">
        <v>330</v>
      </c>
      <c r="B311" s="6" t="s">
        <v>278</v>
      </c>
      <c r="C311" s="174">
        <v>600</v>
      </c>
      <c r="D311" s="5" t="s">
        <v>117</v>
      </c>
      <c r="E311" s="64">
        <f>'№4'!F396</f>
        <v>12457</v>
      </c>
      <c r="F311" s="64">
        <f>'№4'!G396</f>
        <v>12517.9</v>
      </c>
      <c r="G311" s="64">
        <f>'№4'!H396</f>
        <v>12517.9</v>
      </c>
    </row>
    <row r="312" spans="1:7" ht="49.5">
      <c r="A312" s="172" t="s">
        <v>330</v>
      </c>
      <c r="B312" s="172" t="s">
        <v>279</v>
      </c>
      <c r="C312" s="172" t="s">
        <v>93</v>
      </c>
      <c r="D312" s="173" t="s">
        <v>198</v>
      </c>
      <c r="E312" s="64">
        <f>E313</f>
        <v>440.7</v>
      </c>
      <c r="F312" s="64">
        <v>391.6</v>
      </c>
      <c r="G312" s="64">
        <v>0</v>
      </c>
    </row>
    <row r="313" spans="1:7" ht="33">
      <c r="A313" s="172" t="s">
        <v>330</v>
      </c>
      <c r="B313" s="172" t="s">
        <v>279</v>
      </c>
      <c r="C313" s="172" t="s">
        <v>413</v>
      </c>
      <c r="D313" s="173" t="s">
        <v>414</v>
      </c>
      <c r="E313" s="64">
        <f>'№4'!F398</f>
        <v>440.7</v>
      </c>
      <c r="F313" s="64">
        <f>'№4'!G398</f>
        <v>391.6</v>
      </c>
      <c r="G313" s="64">
        <f>'№4'!H398</f>
        <v>0</v>
      </c>
    </row>
    <row r="314" spans="1:7" ht="37.5" customHeight="1">
      <c r="A314" s="172" t="s">
        <v>330</v>
      </c>
      <c r="B314" s="172" t="s">
        <v>467</v>
      </c>
      <c r="C314" s="172" t="s">
        <v>93</v>
      </c>
      <c r="D314" s="173" t="s">
        <v>468</v>
      </c>
      <c r="E314" s="64">
        <f>E315</f>
        <v>178.9</v>
      </c>
      <c r="F314" s="64">
        <f aca="true" t="shared" si="147" ref="F314:G314">F315</f>
        <v>144</v>
      </c>
      <c r="G314" s="64">
        <f t="shared" si="147"/>
        <v>39.6</v>
      </c>
    </row>
    <row r="315" spans="1:7" ht="33">
      <c r="A315" s="172" t="s">
        <v>330</v>
      </c>
      <c r="B315" s="172" t="s">
        <v>467</v>
      </c>
      <c r="C315" s="172" t="s">
        <v>413</v>
      </c>
      <c r="D315" s="173" t="s">
        <v>414</v>
      </c>
      <c r="E315" s="64">
        <f>'№4'!F400</f>
        <v>178.9</v>
      </c>
      <c r="F315" s="64">
        <f>'№4'!G400</f>
        <v>144</v>
      </c>
      <c r="G315" s="64">
        <f>'№4'!H400</f>
        <v>39.6</v>
      </c>
    </row>
    <row r="316" spans="1:7" ht="66">
      <c r="A316" s="172" t="s">
        <v>330</v>
      </c>
      <c r="B316" s="172" t="s">
        <v>516</v>
      </c>
      <c r="C316" s="172" t="s">
        <v>93</v>
      </c>
      <c r="D316" s="173" t="s">
        <v>515</v>
      </c>
      <c r="E316" s="64">
        <f>E317</f>
        <v>33.4</v>
      </c>
      <c r="F316" s="64">
        <f aca="true" t="shared" si="148" ref="F316:G316">F317</f>
        <v>0</v>
      </c>
      <c r="G316" s="64">
        <f t="shared" si="148"/>
        <v>0</v>
      </c>
    </row>
    <row r="317" spans="1:7" ht="33">
      <c r="A317" s="172" t="s">
        <v>330</v>
      </c>
      <c r="B317" s="172" t="s">
        <v>516</v>
      </c>
      <c r="C317" s="172" t="s">
        <v>413</v>
      </c>
      <c r="D317" s="173" t="s">
        <v>414</v>
      </c>
      <c r="E317" s="64">
        <f>'№4'!F402</f>
        <v>33.4</v>
      </c>
      <c r="F317" s="64">
        <f>'№4'!G402</f>
        <v>0</v>
      </c>
      <c r="G317" s="64">
        <f>'№4'!H402</f>
        <v>0</v>
      </c>
    </row>
    <row r="318" spans="1:7" ht="66">
      <c r="A318" s="172" t="s">
        <v>330</v>
      </c>
      <c r="B318" s="172" t="s">
        <v>684</v>
      </c>
      <c r="C318" s="172" t="s">
        <v>93</v>
      </c>
      <c r="D318" s="5" t="s">
        <v>649</v>
      </c>
      <c r="E318" s="64">
        <f>E319</f>
        <v>107.8</v>
      </c>
      <c r="F318" s="64">
        <f aca="true" t="shared" si="149" ref="F318:G318">F319</f>
        <v>0</v>
      </c>
      <c r="G318" s="64">
        <f t="shared" si="149"/>
        <v>0</v>
      </c>
    </row>
    <row r="319" spans="1:7" ht="33">
      <c r="A319" s="172" t="s">
        <v>330</v>
      </c>
      <c r="B319" s="172" t="s">
        <v>684</v>
      </c>
      <c r="C319" s="172" t="s">
        <v>413</v>
      </c>
      <c r="D319" s="173" t="s">
        <v>414</v>
      </c>
      <c r="E319" s="64">
        <f>'№4'!F404</f>
        <v>107.8</v>
      </c>
      <c r="F319" s="64">
        <v>0</v>
      </c>
      <c r="G319" s="64">
        <v>0</v>
      </c>
    </row>
    <row r="320" spans="1:7" ht="12.75">
      <c r="A320" s="172" t="s">
        <v>330</v>
      </c>
      <c r="B320" s="31">
        <v>9900000000</v>
      </c>
      <c r="C320" s="89"/>
      <c r="D320" s="32" t="s">
        <v>506</v>
      </c>
      <c r="E320" s="64">
        <f>E321</f>
        <v>161.6</v>
      </c>
      <c r="F320" s="64">
        <f aca="true" t="shared" si="150" ref="F320:G322">F321</f>
        <v>0</v>
      </c>
      <c r="G320" s="64">
        <f t="shared" si="150"/>
        <v>0</v>
      </c>
    </row>
    <row r="321" spans="1:7" ht="49.5">
      <c r="A321" s="172" t="s">
        <v>330</v>
      </c>
      <c r="B321" s="31">
        <v>9950000000</v>
      </c>
      <c r="C321" s="87"/>
      <c r="D321" s="5" t="s">
        <v>625</v>
      </c>
      <c r="E321" s="64">
        <f>E322</f>
        <v>161.6</v>
      </c>
      <c r="F321" s="64">
        <f t="shared" si="150"/>
        <v>0</v>
      </c>
      <c r="G321" s="64">
        <f t="shared" si="150"/>
        <v>0</v>
      </c>
    </row>
    <row r="322" spans="1:7" ht="49.5">
      <c r="A322" s="172" t="s">
        <v>330</v>
      </c>
      <c r="B322" s="31" t="s">
        <v>626</v>
      </c>
      <c r="C322" s="87"/>
      <c r="D322" s="5" t="s">
        <v>627</v>
      </c>
      <c r="E322" s="64">
        <f>E323</f>
        <v>161.6</v>
      </c>
      <c r="F322" s="64">
        <f t="shared" si="150"/>
        <v>0</v>
      </c>
      <c r="G322" s="64">
        <f t="shared" si="150"/>
        <v>0</v>
      </c>
    </row>
    <row r="323" spans="1:7" ht="33">
      <c r="A323" s="172" t="s">
        <v>330</v>
      </c>
      <c r="B323" s="31" t="s">
        <v>626</v>
      </c>
      <c r="C323" s="174">
        <v>600</v>
      </c>
      <c r="D323" s="5" t="s">
        <v>117</v>
      </c>
      <c r="E323" s="64">
        <f>'№4'!F545+'№4'!F408</f>
        <v>161.6</v>
      </c>
      <c r="F323" s="64">
        <f>'№4'!G545+'№4'!G408</f>
        <v>0</v>
      </c>
      <c r="G323" s="64">
        <f>'№4'!H545+'№4'!H408</f>
        <v>0</v>
      </c>
    </row>
    <row r="324" spans="1:7" ht="12.75">
      <c r="A324" s="172" t="s">
        <v>63</v>
      </c>
      <c r="B324" s="172" t="s">
        <v>93</v>
      </c>
      <c r="C324" s="172" t="s">
        <v>93</v>
      </c>
      <c r="D324" s="173" t="s">
        <v>54</v>
      </c>
      <c r="E324" s="64">
        <f>E325</f>
        <v>9395.4</v>
      </c>
      <c r="F324" s="64">
        <f aca="true" t="shared" si="151" ref="F324:G324">F325</f>
        <v>5332.8</v>
      </c>
      <c r="G324" s="64">
        <f t="shared" si="151"/>
        <v>5171.2</v>
      </c>
    </row>
    <row r="325" spans="1:7" ht="49.5">
      <c r="A325" s="172" t="s">
        <v>63</v>
      </c>
      <c r="B325" s="172" t="s">
        <v>280</v>
      </c>
      <c r="C325" s="172" t="s">
        <v>93</v>
      </c>
      <c r="D325" s="173" t="s">
        <v>399</v>
      </c>
      <c r="E325" s="64">
        <f>E326+E333+E350</f>
        <v>9395.4</v>
      </c>
      <c r="F325" s="64">
        <f>F326+F333+F350</f>
        <v>5332.8</v>
      </c>
      <c r="G325" s="64">
        <f>G326+G333+G350</f>
        <v>5171.2</v>
      </c>
    </row>
    <row r="326" spans="1:7" ht="33">
      <c r="A326" s="172" t="s">
        <v>63</v>
      </c>
      <c r="B326" s="172" t="s">
        <v>281</v>
      </c>
      <c r="C326" s="172" t="s">
        <v>93</v>
      </c>
      <c r="D326" s="173" t="s">
        <v>114</v>
      </c>
      <c r="E326" s="64">
        <f>E331+E327+E329</f>
        <v>3226.8</v>
      </c>
      <c r="F326" s="64">
        <f aca="true" t="shared" si="152" ref="F326:G326">F331+F327+F329</f>
        <v>168.7</v>
      </c>
      <c r="G326" s="64">
        <f t="shared" si="152"/>
        <v>0</v>
      </c>
    </row>
    <row r="327" spans="1:7" ht="49.5">
      <c r="A327" s="6" t="s">
        <v>63</v>
      </c>
      <c r="B327" s="6" t="s">
        <v>583</v>
      </c>
      <c r="C327" s="174"/>
      <c r="D327" s="5" t="s">
        <v>584</v>
      </c>
      <c r="E327" s="64">
        <f>E328</f>
        <v>53.400000000000006</v>
      </c>
      <c r="F327" s="64">
        <f aca="true" t="shared" si="153" ref="F327:G327">F328</f>
        <v>0</v>
      </c>
      <c r="G327" s="64">
        <f t="shared" si="153"/>
        <v>0</v>
      </c>
    </row>
    <row r="328" spans="1:7" ht="12.75">
      <c r="A328" s="6" t="s">
        <v>63</v>
      </c>
      <c r="B328" s="6" t="s">
        <v>583</v>
      </c>
      <c r="C328" s="174" t="s">
        <v>100</v>
      </c>
      <c r="D328" s="5" t="s">
        <v>101</v>
      </c>
      <c r="E328" s="64">
        <f>'№4'!F551</f>
        <v>53.400000000000006</v>
      </c>
      <c r="F328" s="64">
        <v>0</v>
      </c>
      <c r="G328" s="64">
        <v>0</v>
      </c>
    </row>
    <row r="329" spans="1:7" ht="33">
      <c r="A329" s="6" t="s">
        <v>63</v>
      </c>
      <c r="B329" s="6" t="s">
        <v>582</v>
      </c>
      <c r="C329" s="174"/>
      <c r="D329" s="5" t="s">
        <v>585</v>
      </c>
      <c r="E329" s="64">
        <f>E330</f>
        <v>3012.5</v>
      </c>
      <c r="F329" s="64">
        <f aca="true" t="shared" si="154" ref="F329:G329">F330</f>
        <v>0</v>
      </c>
      <c r="G329" s="64">
        <f t="shared" si="154"/>
        <v>0</v>
      </c>
    </row>
    <row r="330" spans="1:7" ht="33">
      <c r="A330" s="6" t="s">
        <v>63</v>
      </c>
      <c r="B330" s="6" t="s">
        <v>582</v>
      </c>
      <c r="C330" s="174">
        <v>600</v>
      </c>
      <c r="D330" s="5" t="s">
        <v>117</v>
      </c>
      <c r="E330" s="64">
        <f>'№4'!F553+'№4'!F413</f>
        <v>3012.5</v>
      </c>
      <c r="F330" s="64">
        <f>'№4'!G553+'№4'!G413</f>
        <v>0</v>
      </c>
      <c r="G330" s="64">
        <f>'№4'!H553+'№4'!H413</f>
        <v>0</v>
      </c>
    </row>
    <row r="331" spans="1:7" ht="33">
      <c r="A331" s="172" t="s">
        <v>63</v>
      </c>
      <c r="B331" s="172" t="s">
        <v>492</v>
      </c>
      <c r="C331" s="172" t="s">
        <v>93</v>
      </c>
      <c r="D331" s="173" t="s">
        <v>195</v>
      </c>
      <c r="E331" s="64">
        <f>E332</f>
        <v>160.9</v>
      </c>
      <c r="F331" s="64">
        <f aca="true" t="shared" si="155" ref="F331:G331">F332</f>
        <v>168.7</v>
      </c>
      <c r="G331" s="64">
        <f t="shared" si="155"/>
        <v>0</v>
      </c>
    </row>
    <row r="332" spans="1:7" ht="12.75">
      <c r="A332" s="172" t="s">
        <v>63</v>
      </c>
      <c r="B332" s="172" t="s">
        <v>492</v>
      </c>
      <c r="C332" s="172" t="s">
        <v>100</v>
      </c>
      <c r="D332" s="173" t="s">
        <v>101</v>
      </c>
      <c r="E332" s="64">
        <f>'№4'!F555</f>
        <v>160.9</v>
      </c>
      <c r="F332" s="64">
        <f>'№4'!G555</f>
        <v>168.7</v>
      </c>
      <c r="G332" s="64">
        <f>'№4'!H555</f>
        <v>0</v>
      </c>
    </row>
    <row r="333" spans="1:7" ht="66">
      <c r="A333" s="172" t="s">
        <v>63</v>
      </c>
      <c r="B333" s="172" t="s">
        <v>282</v>
      </c>
      <c r="C333" s="172" t="s">
        <v>93</v>
      </c>
      <c r="D333" s="173" t="s">
        <v>469</v>
      </c>
      <c r="E333" s="64">
        <f>E334+E336+E338+E340+E344+E346+E348+E342</f>
        <v>5361.5</v>
      </c>
      <c r="F333" s="64">
        <f aca="true" t="shared" si="156" ref="F333:G333">F334+F336+F338+F340+F344+F346+F348+F342</f>
        <v>5164.1</v>
      </c>
      <c r="G333" s="64">
        <f t="shared" si="156"/>
        <v>5171.2</v>
      </c>
    </row>
    <row r="334" spans="1:7" ht="33">
      <c r="A334" s="6" t="s">
        <v>63</v>
      </c>
      <c r="B334" s="4" t="s">
        <v>285</v>
      </c>
      <c r="C334" s="4"/>
      <c r="D334" s="21" t="s">
        <v>136</v>
      </c>
      <c r="E334" s="64">
        <f>E335</f>
        <v>4962.5</v>
      </c>
      <c r="F334" s="64">
        <f aca="true" t="shared" si="157" ref="F334:G334">F335</f>
        <v>4953.1</v>
      </c>
      <c r="G334" s="64">
        <f t="shared" si="157"/>
        <v>4953.1</v>
      </c>
    </row>
    <row r="335" spans="1:7" ht="33">
      <c r="A335" s="6" t="s">
        <v>63</v>
      </c>
      <c r="B335" s="4" t="s">
        <v>285</v>
      </c>
      <c r="C335" s="174">
        <v>600</v>
      </c>
      <c r="D335" s="5" t="s">
        <v>117</v>
      </c>
      <c r="E335" s="64">
        <f>'№4'!F418</f>
        <v>4962.5</v>
      </c>
      <c r="F335" s="64">
        <f>'№4'!G418</f>
        <v>4953.1</v>
      </c>
      <c r="G335" s="64">
        <f>'№4'!H418</f>
        <v>4953.1</v>
      </c>
    </row>
    <row r="336" spans="1:7" ht="33">
      <c r="A336" s="172" t="s">
        <v>63</v>
      </c>
      <c r="B336" s="172" t="s">
        <v>283</v>
      </c>
      <c r="C336" s="172" t="s">
        <v>93</v>
      </c>
      <c r="D336" s="173" t="s">
        <v>134</v>
      </c>
      <c r="E336" s="64">
        <f>E337</f>
        <v>19</v>
      </c>
      <c r="F336" s="64">
        <f aca="true" t="shared" si="158" ref="F336:G336">F337</f>
        <v>21.9</v>
      </c>
      <c r="G336" s="64">
        <f t="shared" si="158"/>
        <v>23.9</v>
      </c>
    </row>
    <row r="337" spans="1:7" ht="12.75">
      <c r="A337" s="172" t="s">
        <v>63</v>
      </c>
      <c r="B337" s="172" t="s">
        <v>283</v>
      </c>
      <c r="C337" s="172" t="s">
        <v>100</v>
      </c>
      <c r="D337" s="173" t="s">
        <v>101</v>
      </c>
      <c r="E337" s="64">
        <f>'№4'!F420</f>
        <v>19</v>
      </c>
      <c r="F337" s="64">
        <f>'№4'!G420</f>
        <v>21.9</v>
      </c>
      <c r="G337" s="64">
        <f>'№4'!H420</f>
        <v>23.9</v>
      </c>
    </row>
    <row r="338" spans="1:7" ht="33">
      <c r="A338" s="172" t="s">
        <v>63</v>
      </c>
      <c r="B338" s="172" t="s">
        <v>284</v>
      </c>
      <c r="C338" s="172" t="s">
        <v>93</v>
      </c>
      <c r="D338" s="173" t="s">
        <v>135</v>
      </c>
      <c r="E338" s="64">
        <f>E339</f>
        <v>13.5</v>
      </c>
      <c r="F338" s="64">
        <f aca="true" t="shared" si="159" ref="F338:G338">F339</f>
        <v>14</v>
      </c>
      <c r="G338" s="64">
        <f t="shared" si="159"/>
        <v>14.5</v>
      </c>
    </row>
    <row r="339" spans="1:7" ht="33">
      <c r="A339" s="172" t="s">
        <v>63</v>
      </c>
      <c r="B339" s="172" t="s">
        <v>284</v>
      </c>
      <c r="C339" s="172" t="s">
        <v>96</v>
      </c>
      <c r="D339" s="173" t="s">
        <v>342</v>
      </c>
      <c r="E339" s="64">
        <f>'№4'!F422</f>
        <v>13.5</v>
      </c>
      <c r="F339" s="64">
        <f>'№4'!G422</f>
        <v>14</v>
      </c>
      <c r="G339" s="64">
        <f>'№4'!H422</f>
        <v>14.5</v>
      </c>
    </row>
    <row r="340" spans="1:7" ht="33">
      <c r="A340" s="172" t="s">
        <v>63</v>
      </c>
      <c r="B340" s="172" t="s">
        <v>287</v>
      </c>
      <c r="C340" s="172" t="s">
        <v>93</v>
      </c>
      <c r="D340" s="173" t="s">
        <v>137</v>
      </c>
      <c r="E340" s="64">
        <f>E341</f>
        <v>47.6</v>
      </c>
      <c r="F340" s="64">
        <f aca="true" t="shared" si="160" ref="F340:G340">F341</f>
        <v>49.3</v>
      </c>
      <c r="G340" s="64">
        <f t="shared" si="160"/>
        <v>51</v>
      </c>
    </row>
    <row r="341" spans="1:7" ht="33">
      <c r="A341" s="172" t="s">
        <v>63</v>
      </c>
      <c r="B341" s="172" t="s">
        <v>287</v>
      </c>
      <c r="C341" s="172" t="s">
        <v>413</v>
      </c>
      <c r="D341" s="173" t="s">
        <v>414</v>
      </c>
      <c r="E341" s="64">
        <f>'№4'!F424</f>
        <v>47.6</v>
      </c>
      <c r="F341" s="64">
        <f>'№4'!G424</f>
        <v>49.3</v>
      </c>
      <c r="G341" s="64">
        <f>'№4'!H424</f>
        <v>51</v>
      </c>
    </row>
    <row r="342" spans="1:7" ht="33">
      <c r="A342" s="6" t="s">
        <v>63</v>
      </c>
      <c r="B342" s="4" t="s">
        <v>679</v>
      </c>
      <c r="C342" s="4"/>
      <c r="D342" s="21" t="s">
        <v>680</v>
      </c>
      <c r="E342" s="64">
        <f>E343</f>
        <v>196</v>
      </c>
      <c r="F342" s="64">
        <f aca="true" t="shared" si="161" ref="F342:G342">F343</f>
        <v>0</v>
      </c>
      <c r="G342" s="64">
        <f t="shared" si="161"/>
        <v>0</v>
      </c>
    </row>
    <row r="343" spans="1:7" ht="33">
      <c r="A343" s="6" t="s">
        <v>63</v>
      </c>
      <c r="B343" s="4" t="s">
        <v>679</v>
      </c>
      <c r="C343" s="174">
        <v>600</v>
      </c>
      <c r="D343" s="5" t="s">
        <v>117</v>
      </c>
      <c r="E343" s="64">
        <f>'№4'!F426</f>
        <v>196</v>
      </c>
      <c r="F343" s="64">
        <f>'№4'!G426</f>
        <v>0</v>
      </c>
      <c r="G343" s="64">
        <f>'№4'!H426</f>
        <v>0</v>
      </c>
    </row>
    <row r="344" spans="1:7" ht="33">
      <c r="A344" s="172" t="s">
        <v>63</v>
      </c>
      <c r="B344" s="172" t="s">
        <v>313</v>
      </c>
      <c r="C344" s="172" t="s">
        <v>93</v>
      </c>
      <c r="D344" s="173" t="s">
        <v>199</v>
      </c>
      <c r="E344" s="64">
        <f>E345</f>
        <v>21.7</v>
      </c>
      <c r="F344" s="64">
        <f aca="true" t="shared" si="162" ref="F344:G344">F345</f>
        <v>22.3</v>
      </c>
      <c r="G344" s="64">
        <f t="shared" si="162"/>
        <v>22.9</v>
      </c>
    </row>
    <row r="345" spans="1:7" ht="33">
      <c r="A345" s="172" t="s">
        <v>63</v>
      </c>
      <c r="B345" s="172" t="s">
        <v>313</v>
      </c>
      <c r="C345" s="172" t="s">
        <v>96</v>
      </c>
      <c r="D345" s="173" t="s">
        <v>342</v>
      </c>
      <c r="E345" s="64">
        <f>'№4'!F428</f>
        <v>21.7</v>
      </c>
      <c r="F345" s="64">
        <f>'№4'!G428</f>
        <v>22.3</v>
      </c>
      <c r="G345" s="64">
        <f>'№4'!H428</f>
        <v>22.9</v>
      </c>
    </row>
    <row r="346" spans="1:7" ht="33">
      <c r="A346" s="172" t="s">
        <v>63</v>
      </c>
      <c r="B346" s="172" t="s">
        <v>473</v>
      </c>
      <c r="C346" s="172" t="s">
        <v>93</v>
      </c>
      <c r="D346" s="173" t="s">
        <v>474</v>
      </c>
      <c r="E346" s="64">
        <f>E347</f>
        <v>36</v>
      </c>
      <c r="F346" s="64">
        <f aca="true" t="shared" si="163" ref="F346:G346">F347</f>
        <v>36</v>
      </c>
      <c r="G346" s="64">
        <f t="shared" si="163"/>
        <v>36</v>
      </c>
    </row>
    <row r="347" spans="1:7" ht="12.75">
      <c r="A347" s="172" t="s">
        <v>63</v>
      </c>
      <c r="B347" s="172" t="s">
        <v>473</v>
      </c>
      <c r="C347" s="172" t="s">
        <v>100</v>
      </c>
      <c r="D347" s="173" t="s">
        <v>101</v>
      </c>
      <c r="E347" s="64">
        <f>'№4'!F430</f>
        <v>36</v>
      </c>
      <c r="F347" s="64">
        <f>'№4'!G430</f>
        <v>36</v>
      </c>
      <c r="G347" s="64">
        <f>'№4'!H430</f>
        <v>36</v>
      </c>
    </row>
    <row r="348" spans="1:7" ht="66">
      <c r="A348" s="172" t="s">
        <v>63</v>
      </c>
      <c r="B348" s="172" t="s">
        <v>477</v>
      </c>
      <c r="C348" s="172" t="s">
        <v>93</v>
      </c>
      <c r="D348" s="173" t="s">
        <v>138</v>
      </c>
      <c r="E348" s="64">
        <f>E349</f>
        <v>65.2</v>
      </c>
      <c r="F348" s="64">
        <f aca="true" t="shared" si="164" ref="F348:G348">F349</f>
        <v>67.5</v>
      </c>
      <c r="G348" s="64">
        <f t="shared" si="164"/>
        <v>69.8</v>
      </c>
    </row>
    <row r="349" spans="1:7" ht="33">
      <c r="A349" s="172" t="s">
        <v>63</v>
      </c>
      <c r="B349" s="172" t="s">
        <v>477</v>
      </c>
      <c r="C349" s="172" t="s">
        <v>413</v>
      </c>
      <c r="D349" s="173" t="s">
        <v>414</v>
      </c>
      <c r="E349" s="64">
        <f>'№4'!F433</f>
        <v>65.2</v>
      </c>
      <c r="F349" s="64">
        <f>'№4'!G433</f>
        <v>67.5</v>
      </c>
      <c r="G349" s="64">
        <f>'№4'!H433</f>
        <v>69.8</v>
      </c>
    </row>
    <row r="350" spans="1:7" ht="82.5">
      <c r="A350" s="172" t="s">
        <v>63</v>
      </c>
      <c r="B350" s="172" t="s">
        <v>400</v>
      </c>
      <c r="C350" s="172" t="s">
        <v>93</v>
      </c>
      <c r="D350" s="173" t="s">
        <v>401</v>
      </c>
      <c r="E350" s="64">
        <f>E351</f>
        <v>807.0999999999999</v>
      </c>
      <c r="F350" s="64">
        <f aca="true" t="shared" si="165" ref="F350:G351">F351</f>
        <v>0</v>
      </c>
      <c r="G350" s="64">
        <f t="shared" si="165"/>
        <v>0</v>
      </c>
    </row>
    <row r="351" spans="1:7" ht="99">
      <c r="A351" s="172" t="s">
        <v>63</v>
      </c>
      <c r="B351" s="172" t="s">
        <v>403</v>
      </c>
      <c r="C351" s="172" t="s">
        <v>93</v>
      </c>
      <c r="D351" s="173" t="s">
        <v>404</v>
      </c>
      <c r="E351" s="64">
        <f>E352</f>
        <v>807.0999999999999</v>
      </c>
      <c r="F351" s="64">
        <f t="shared" si="165"/>
        <v>0</v>
      </c>
      <c r="G351" s="64">
        <f t="shared" si="165"/>
        <v>0</v>
      </c>
    </row>
    <row r="352" spans="1:7" ht="33">
      <c r="A352" s="172" t="s">
        <v>63</v>
      </c>
      <c r="B352" s="172" t="s">
        <v>403</v>
      </c>
      <c r="C352" s="172" t="s">
        <v>96</v>
      </c>
      <c r="D352" s="173" t="s">
        <v>342</v>
      </c>
      <c r="E352" s="64">
        <f>'№4'!F213</f>
        <v>807.0999999999999</v>
      </c>
      <c r="F352" s="64">
        <v>0</v>
      </c>
      <c r="G352" s="64">
        <v>0</v>
      </c>
    </row>
    <row r="353" spans="1:7" ht="12.75">
      <c r="A353" s="172" t="s">
        <v>79</v>
      </c>
      <c r="B353" s="172" t="s">
        <v>93</v>
      </c>
      <c r="C353" s="172" t="s">
        <v>93</v>
      </c>
      <c r="D353" s="173" t="s">
        <v>17</v>
      </c>
      <c r="E353" s="64">
        <f>E354</f>
        <v>14004.699999999997</v>
      </c>
      <c r="F353" s="64">
        <f aca="true" t="shared" si="166" ref="F353:G354">F354</f>
        <v>13928.199999999999</v>
      </c>
      <c r="G353" s="64">
        <f t="shared" si="166"/>
        <v>13928.199999999999</v>
      </c>
    </row>
    <row r="354" spans="1:7" ht="49.5">
      <c r="A354" s="172" t="s">
        <v>79</v>
      </c>
      <c r="B354" s="172" t="s">
        <v>280</v>
      </c>
      <c r="C354" s="172" t="s">
        <v>93</v>
      </c>
      <c r="D354" s="173" t="s">
        <v>399</v>
      </c>
      <c r="E354" s="64">
        <f>E355</f>
        <v>14004.699999999997</v>
      </c>
      <c r="F354" s="64">
        <f t="shared" si="166"/>
        <v>13928.199999999999</v>
      </c>
      <c r="G354" s="64">
        <f t="shared" si="166"/>
        <v>13928.199999999999</v>
      </c>
    </row>
    <row r="355" spans="1:7" ht="12.75">
      <c r="A355" s="172" t="s">
        <v>79</v>
      </c>
      <c r="B355" s="172" t="s">
        <v>304</v>
      </c>
      <c r="C355" s="172" t="s">
        <v>93</v>
      </c>
      <c r="D355" s="173" t="s">
        <v>2</v>
      </c>
      <c r="E355" s="64">
        <f>E356+E361+E365</f>
        <v>14004.699999999997</v>
      </c>
      <c r="F355" s="64">
        <f aca="true" t="shared" si="167" ref="F355:G355">F356+F361+F365</f>
        <v>13928.199999999999</v>
      </c>
      <c r="G355" s="64">
        <f t="shared" si="167"/>
        <v>13928.199999999999</v>
      </c>
    </row>
    <row r="356" spans="1:7" ht="49.5">
      <c r="A356" s="172" t="s">
        <v>79</v>
      </c>
      <c r="B356" s="172" t="s">
        <v>306</v>
      </c>
      <c r="C356" s="172" t="s">
        <v>93</v>
      </c>
      <c r="D356" s="173" t="s">
        <v>124</v>
      </c>
      <c r="E356" s="64">
        <f>E357+E358+E360+E359</f>
        <v>8499.899999999998</v>
      </c>
      <c r="F356" s="64">
        <f aca="true" t="shared" si="168" ref="F356:G356">F357+F358+F360+F359</f>
        <v>8749.4</v>
      </c>
      <c r="G356" s="64">
        <f t="shared" si="168"/>
        <v>8749.4</v>
      </c>
    </row>
    <row r="357" spans="1:7" ht="82.5">
      <c r="A357" s="172" t="s">
        <v>79</v>
      </c>
      <c r="B357" s="172" t="s">
        <v>306</v>
      </c>
      <c r="C357" s="172" t="s">
        <v>95</v>
      </c>
      <c r="D357" s="173" t="s">
        <v>3</v>
      </c>
      <c r="E357" s="64">
        <f>'№4'!F561</f>
        <v>6418.9</v>
      </c>
      <c r="F357" s="64">
        <f>'№4'!G561</f>
        <v>6262.2</v>
      </c>
      <c r="G357" s="64">
        <f>'№4'!H561</f>
        <v>6262.2</v>
      </c>
    </row>
    <row r="358" spans="1:7" ht="33">
      <c r="A358" s="172" t="s">
        <v>79</v>
      </c>
      <c r="B358" s="172" t="s">
        <v>306</v>
      </c>
      <c r="C358" s="172" t="s">
        <v>96</v>
      </c>
      <c r="D358" s="173" t="s">
        <v>342</v>
      </c>
      <c r="E358" s="64">
        <f>'№4'!F562</f>
        <v>1940.8</v>
      </c>
      <c r="F358" s="64">
        <f>'№4'!G562</f>
        <v>2293.4</v>
      </c>
      <c r="G358" s="64">
        <f>'№4'!H562</f>
        <v>2293.4</v>
      </c>
    </row>
    <row r="359" spans="1:7" ht="12.75">
      <c r="A359" s="172" t="s">
        <v>79</v>
      </c>
      <c r="B359" s="172" t="s">
        <v>306</v>
      </c>
      <c r="C359" s="172" t="s">
        <v>100</v>
      </c>
      <c r="D359" s="173" t="s">
        <v>101</v>
      </c>
      <c r="E359" s="64">
        <f>'№4'!F563</f>
        <v>111.3</v>
      </c>
      <c r="F359" s="64">
        <f>'№4'!G563</f>
        <v>0</v>
      </c>
      <c r="G359" s="64">
        <f>'№4'!H563</f>
        <v>0</v>
      </c>
    </row>
    <row r="360" spans="1:7" ht="12.75">
      <c r="A360" s="172" t="s">
        <v>79</v>
      </c>
      <c r="B360" s="172" t="s">
        <v>306</v>
      </c>
      <c r="C360" s="172" t="s">
        <v>97</v>
      </c>
      <c r="D360" s="173" t="s">
        <v>98</v>
      </c>
      <c r="E360" s="64">
        <f>'№4'!F564</f>
        <v>28.900000000000013</v>
      </c>
      <c r="F360" s="64">
        <f>'№4'!G564</f>
        <v>193.8</v>
      </c>
      <c r="G360" s="64">
        <f>'№4'!H564</f>
        <v>193.8</v>
      </c>
    </row>
    <row r="361" spans="1:7" ht="49.5">
      <c r="A361" s="172" t="s">
        <v>79</v>
      </c>
      <c r="B361" s="172" t="s">
        <v>307</v>
      </c>
      <c r="C361" s="172" t="s">
        <v>93</v>
      </c>
      <c r="D361" s="173" t="s">
        <v>125</v>
      </c>
      <c r="E361" s="64">
        <f>E362+E363+E364</f>
        <v>3522.9</v>
      </c>
      <c r="F361" s="64">
        <f aca="true" t="shared" si="169" ref="F361:G361">F362+F363+F364</f>
        <v>3348.9</v>
      </c>
      <c r="G361" s="64">
        <f t="shared" si="169"/>
        <v>3348.9</v>
      </c>
    </row>
    <row r="362" spans="1:7" ht="82.5">
      <c r="A362" s="172" t="s">
        <v>79</v>
      </c>
      <c r="B362" s="172" t="s">
        <v>307</v>
      </c>
      <c r="C362" s="172" t="s">
        <v>95</v>
      </c>
      <c r="D362" s="173" t="s">
        <v>3</v>
      </c>
      <c r="E362" s="64">
        <f>'№4'!F566</f>
        <v>2756.5</v>
      </c>
      <c r="F362" s="64">
        <f>'№4'!G566</f>
        <v>2756.5</v>
      </c>
      <c r="G362" s="64">
        <f>'№4'!H566</f>
        <v>2756.5</v>
      </c>
    </row>
    <row r="363" spans="1:7" ht="33">
      <c r="A363" s="172" t="s">
        <v>79</v>
      </c>
      <c r="B363" s="172" t="s">
        <v>307</v>
      </c>
      <c r="C363" s="172" t="s">
        <v>96</v>
      </c>
      <c r="D363" s="173" t="s">
        <v>342</v>
      </c>
      <c r="E363" s="64">
        <f>'№4'!F567</f>
        <v>765.6</v>
      </c>
      <c r="F363" s="64">
        <f>'№4'!G567</f>
        <v>592.4</v>
      </c>
      <c r="G363" s="64">
        <f>'№4'!H567</f>
        <v>592.4</v>
      </c>
    </row>
    <row r="364" spans="1:7" ht="12.75">
      <c r="A364" s="178" t="s">
        <v>79</v>
      </c>
      <c r="B364" s="178" t="s">
        <v>307</v>
      </c>
      <c r="C364" s="178" t="s">
        <v>97</v>
      </c>
      <c r="D364" s="179" t="s">
        <v>98</v>
      </c>
      <c r="E364" s="64">
        <f>'№4'!F568</f>
        <v>0.8</v>
      </c>
      <c r="F364" s="64">
        <f>'№4'!G568</f>
        <v>0</v>
      </c>
      <c r="G364" s="64">
        <f>'№4'!H568</f>
        <v>0</v>
      </c>
    </row>
    <row r="365" spans="1:7" ht="72" customHeight="1">
      <c r="A365" s="172" t="s">
        <v>79</v>
      </c>
      <c r="B365" s="172" t="s">
        <v>305</v>
      </c>
      <c r="C365" s="172" t="s">
        <v>93</v>
      </c>
      <c r="D365" s="173" t="s">
        <v>343</v>
      </c>
      <c r="E365" s="64">
        <f>E366</f>
        <v>1981.9</v>
      </c>
      <c r="F365" s="64">
        <f aca="true" t="shared" si="170" ref="F365:G365">F366</f>
        <v>1829.9</v>
      </c>
      <c r="G365" s="64">
        <f t="shared" si="170"/>
        <v>1829.9</v>
      </c>
    </row>
    <row r="366" spans="1:7" ht="82.5">
      <c r="A366" s="172" t="s">
        <v>79</v>
      </c>
      <c r="B366" s="172" t="s">
        <v>305</v>
      </c>
      <c r="C366" s="172" t="s">
        <v>95</v>
      </c>
      <c r="D366" s="173" t="s">
        <v>3</v>
      </c>
      <c r="E366" s="64">
        <f>'№4'!F570</f>
        <v>1981.9</v>
      </c>
      <c r="F366" s="64">
        <f>'№4'!G570</f>
        <v>1829.9</v>
      </c>
      <c r="G366" s="64">
        <f>'№4'!H570</f>
        <v>1829.9</v>
      </c>
    </row>
    <row r="367" spans="1:7" ht="12.75">
      <c r="A367" s="60" t="s">
        <v>66</v>
      </c>
      <c r="B367" s="60" t="s">
        <v>93</v>
      </c>
      <c r="C367" s="60" t="s">
        <v>93</v>
      </c>
      <c r="D367" s="3" t="s">
        <v>111</v>
      </c>
      <c r="E367" s="62">
        <f>E368</f>
        <v>27532.999999999993</v>
      </c>
      <c r="F367" s="62">
        <f aca="true" t="shared" si="171" ref="F367:G369">F368</f>
        <v>22473.2</v>
      </c>
      <c r="G367" s="62">
        <f t="shared" si="171"/>
        <v>22485.3</v>
      </c>
    </row>
    <row r="368" spans="1:7" ht="12.75">
      <c r="A368" s="172" t="s">
        <v>67</v>
      </c>
      <c r="B368" s="172" t="s">
        <v>93</v>
      </c>
      <c r="C368" s="172" t="s">
        <v>93</v>
      </c>
      <c r="D368" s="173" t="s">
        <v>18</v>
      </c>
      <c r="E368" s="64">
        <f>E369+E407</f>
        <v>27532.999999999993</v>
      </c>
      <c r="F368" s="64">
        <f>F369+F407</f>
        <v>22473.2</v>
      </c>
      <c r="G368" s="64">
        <f>G369+G407</f>
        <v>22485.3</v>
      </c>
    </row>
    <row r="369" spans="1:7" ht="49.5">
      <c r="A369" s="172" t="s">
        <v>67</v>
      </c>
      <c r="B369" s="172" t="s">
        <v>242</v>
      </c>
      <c r="C369" s="172" t="s">
        <v>93</v>
      </c>
      <c r="D369" s="173" t="s">
        <v>405</v>
      </c>
      <c r="E369" s="64">
        <f>E370</f>
        <v>26963.399999999994</v>
      </c>
      <c r="F369" s="64">
        <f t="shared" si="171"/>
        <v>22473.2</v>
      </c>
      <c r="G369" s="64">
        <f t="shared" si="171"/>
        <v>22485.3</v>
      </c>
    </row>
    <row r="370" spans="1:7" ht="49.5">
      <c r="A370" s="172" t="s">
        <v>67</v>
      </c>
      <c r="B370" s="172" t="s">
        <v>243</v>
      </c>
      <c r="C370" s="172" t="s">
        <v>93</v>
      </c>
      <c r="D370" s="173" t="s">
        <v>151</v>
      </c>
      <c r="E370" s="64">
        <f>E373+E377+E379+E393+E405+E395+E397+E401+E371+E383+E391+E403+E389+E385+E387+E399+E375</f>
        <v>26963.399999999994</v>
      </c>
      <c r="F370" s="64">
        <f aca="true" t="shared" si="172" ref="F370:G370">F373+F377+F379+F393+F405+F395+F397+F401+F371+F383+F391+F403+F389+F385+F387+F399+F375</f>
        <v>22473.2</v>
      </c>
      <c r="G370" s="64">
        <f t="shared" si="172"/>
        <v>22485.3</v>
      </c>
    </row>
    <row r="371" spans="1:7" ht="49.5">
      <c r="A371" s="172" t="s">
        <v>67</v>
      </c>
      <c r="B371" s="172" t="s">
        <v>635</v>
      </c>
      <c r="C371" s="63"/>
      <c r="D371" s="173" t="s">
        <v>640</v>
      </c>
      <c r="E371" s="64">
        <f>E372</f>
        <v>1934.1</v>
      </c>
      <c r="F371" s="64">
        <f aca="true" t="shared" si="173" ref="F371:G371">F372</f>
        <v>0</v>
      </c>
      <c r="G371" s="64">
        <f t="shared" si="173"/>
        <v>0</v>
      </c>
    </row>
    <row r="372" spans="1:7" ht="82.5">
      <c r="A372" s="172" t="s">
        <v>67</v>
      </c>
      <c r="B372" s="172" t="s">
        <v>635</v>
      </c>
      <c r="C372" s="172" t="s">
        <v>95</v>
      </c>
      <c r="D372" s="173" t="s">
        <v>3</v>
      </c>
      <c r="E372" s="64">
        <f>'№4'!F220</f>
        <v>1934.1</v>
      </c>
      <c r="F372" s="64">
        <f>'№4'!G220</f>
        <v>0</v>
      </c>
      <c r="G372" s="64">
        <f>'№4'!H220</f>
        <v>0</v>
      </c>
    </row>
    <row r="373" spans="1:7" ht="33">
      <c r="A373" s="172" t="s">
        <v>67</v>
      </c>
      <c r="B373" s="172" t="s">
        <v>247</v>
      </c>
      <c r="C373" s="172" t="s">
        <v>93</v>
      </c>
      <c r="D373" s="173" t="s">
        <v>408</v>
      </c>
      <c r="E373" s="64">
        <f>E374</f>
        <v>155.1</v>
      </c>
      <c r="F373" s="64">
        <f aca="true" t="shared" si="174" ref="F373:G373">F374</f>
        <v>160.6</v>
      </c>
      <c r="G373" s="64">
        <f t="shared" si="174"/>
        <v>166.1</v>
      </c>
    </row>
    <row r="374" spans="1:7" ht="33">
      <c r="A374" s="172" t="s">
        <v>67</v>
      </c>
      <c r="B374" s="172" t="s">
        <v>247</v>
      </c>
      <c r="C374" s="172" t="s">
        <v>96</v>
      </c>
      <c r="D374" s="173" t="s">
        <v>342</v>
      </c>
      <c r="E374" s="64">
        <f>'№4'!F222</f>
        <v>155.1</v>
      </c>
      <c r="F374" s="64">
        <f>'№4'!G222</f>
        <v>160.6</v>
      </c>
      <c r="G374" s="64">
        <f>'№4'!H222</f>
        <v>166.1</v>
      </c>
    </row>
    <row r="375" spans="1:7" ht="33">
      <c r="A375" s="172" t="s">
        <v>67</v>
      </c>
      <c r="B375" s="172" t="s">
        <v>714</v>
      </c>
      <c r="C375" s="172" t="s">
        <v>93</v>
      </c>
      <c r="D375" s="173" t="s">
        <v>715</v>
      </c>
      <c r="E375" s="64">
        <f>E376</f>
        <v>154.1</v>
      </c>
      <c r="F375" s="64">
        <f aca="true" t="shared" si="175" ref="F375:G375">F376</f>
        <v>0</v>
      </c>
      <c r="G375" s="64">
        <f t="shared" si="175"/>
        <v>0</v>
      </c>
    </row>
    <row r="376" spans="1:7" ht="33">
      <c r="A376" s="172" t="s">
        <v>67</v>
      </c>
      <c r="B376" s="172" t="s">
        <v>714</v>
      </c>
      <c r="C376" s="172" t="s">
        <v>96</v>
      </c>
      <c r="D376" s="173" t="s">
        <v>342</v>
      </c>
      <c r="E376" s="64">
        <f>'№4'!F224</f>
        <v>154.1</v>
      </c>
      <c r="F376" s="64">
        <f>'№4'!G224</f>
        <v>0</v>
      </c>
      <c r="G376" s="64">
        <f>'№4'!H224</f>
        <v>0</v>
      </c>
    </row>
    <row r="377" spans="1:7" ht="49.5">
      <c r="A377" s="172" t="s">
        <v>67</v>
      </c>
      <c r="B377" s="172" t="s">
        <v>310</v>
      </c>
      <c r="C377" s="172" t="s">
        <v>93</v>
      </c>
      <c r="D377" s="173" t="s">
        <v>152</v>
      </c>
      <c r="E377" s="64">
        <f>E378</f>
        <v>85.30000000000001</v>
      </c>
      <c r="F377" s="64">
        <f aca="true" t="shared" si="176" ref="F377:G377">F378</f>
        <v>160.7</v>
      </c>
      <c r="G377" s="64">
        <f t="shared" si="176"/>
        <v>166.2</v>
      </c>
    </row>
    <row r="378" spans="1:7" ht="33">
      <c r="A378" s="172" t="s">
        <v>67</v>
      </c>
      <c r="B378" s="172" t="s">
        <v>310</v>
      </c>
      <c r="C378" s="172" t="s">
        <v>96</v>
      </c>
      <c r="D378" s="173" t="s">
        <v>342</v>
      </c>
      <c r="E378" s="64">
        <f>'№4'!F226</f>
        <v>85.30000000000001</v>
      </c>
      <c r="F378" s="64">
        <f>'№4'!G226</f>
        <v>160.7</v>
      </c>
      <c r="G378" s="64">
        <f>'№4'!H226</f>
        <v>166.2</v>
      </c>
    </row>
    <row r="379" spans="1:7" ht="12.75">
      <c r="A379" s="172" t="s">
        <v>67</v>
      </c>
      <c r="B379" s="172" t="s">
        <v>248</v>
      </c>
      <c r="C379" s="172" t="s">
        <v>93</v>
      </c>
      <c r="D379" s="173" t="s">
        <v>409</v>
      </c>
      <c r="E379" s="64">
        <f>E380+E381+E382</f>
        <v>8768.099999999999</v>
      </c>
      <c r="F379" s="64">
        <f aca="true" t="shared" si="177" ref="F379:G379">F380+F381+F382</f>
        <v>8787.4</v>
      </c>
      <c r="G379" s="64">
        <f t="shared" si="177"/>
        <v>8787.4</v>
      </c>
    </row>
    <row r="380" spans="1:7" ht="82.5">
      <c r="A380" s="172" t="s">
        <v>67</v>
      </c>
      <c r="B380" s="172" t="s">
        <v>248</v>
      </c>
      <c r="C380" s="172" t="s">
        <v>95</v>
      </c>
      <c r="D380" s="173" t="s">
        <v>3</v>
      </c>
      <c r="E380" s="64">
        <f>'№4'!F228</f>
        <v>7073.5</v>
      </c>
      <c r="F380" s="64">
        <f>'№4'!G228</f>
        <v>7092.8</v>
      </c>
      <c r="G380" s="64">
        <f>'№4'!H228</f>
        <v>7092.8</v>
      </c>
    </row>
    <row r="381" spans="1:7" ht="33">
      <c r="A381" s="172" t="s">
        <v>67</v>
      </c>
      <c r="B381" s="172" t="s">
        <v>248</v>
      </c>
      <c r="C381" s="172" t="s">
        <v>96</v>
      </c>
      <c r="D381" s="173" t="s">
        <v>342</v>
      </c>
      <c r="E381" s="64">
        <f>'№4'!F229</f>
        <v>1603.8</v>
      </c>
      <c r="F381" s="64">
        <f>'№4'!G229</f>
        <v>1600.7</v>
      </c>
      <c r="G381" s="64">
        <f>'№4'!H229</f>
        <v>1600.7</v>
      </c>
    </row>
    <row r="382" spans="1:7" ht="12.75">
      <c r="A382" s="172" t="s">
        <v>67</v>
      </c>
      <c r="B382" s="172" t="s">
        <v>248</v>
      </c>
      <c r="C382" s="172" t="s">
        <v>97</v>
      </c>
      <c r="D382" s="173" t="s">
        <v>98</v>
      </c>
      <c r="E382" s="64">
        <f>'№4'!F230</f>
        <v>90.80000000000001</v>
      </c>
      <c r="F382" s="64">
        <f>'№4'!G230</f>
        <v>93.9</v>
      </c>
      <c r="G382" s="64">
        <f>'№4'!H230</f>
        <v>93.9</v>
      </c>
    </row>
    <row r="383" spans="1:7" ht="49.5">
      <c r="A383" s="67" t="s">
        <v>67</v>
      </c>
      <c r="B383" s="67" t="s">
        <v>636</v>
      </c>
      <c r="C383" s="67"/>
      <c r="D383" s="173" t="s">
        <v>650</v>
      </c>
      <c r="E383" s="64">
        <f>E384</f>
        <v>19.3</v>
      </c>
      <c r="F383" s="64">
        <f aca="true" t="shared" si="178" ref="F383:G383">F384</f>
        <v>0</v>
      </c>
      <c r="G383" s="64">
        <f t="shared" si="178"/>
        <v>0</v>
      </c>
    </row>
    <row r="384" spans="1:7" ht="82.5">
      <c r="A384" s="67" t="s">
        <v>67</v>
      </c>
      <c r="B384" s="67" t="s">
        <v>636</v>
      </c>
      <c r="C384" s="172" t="s">
        <v>95</v>
      </c>
      <c r="D384" s="173" t="s">
        <v>3</v>
      </c>
      <c r="E384" s="64">
        <f>'№4'!F232</f>
        <v>19.3</v>
      </c>
      <c r="F384" s="64">
        <f>'№4'!G232</f>
        <v>0</v>
      </c>
      <c r="G384" s="64">
        <f>'№4'!H232</f>
        <v>0</v>
      </c>
    </row>
    <row r="385" spans="1:7" ht="49.5">
      <c r="A385" s="67" t="s">
        <v>67</v>
      </c>
      <c r="B385" s="67" t="s">
        <v>645</v>
      </c>
      <c r="C385" s="67" t="s">
        <v>93</v>
      </c>
      <c r="D385" s="173" t="s">
        <v>647</v>
      </c>
      <c r="E385" s="64">
        <f>E386</f>
        <v>70</v>
      </c>
      <c r="F385" s="64">
        <f aca="true" t="shared" si="179" ref="F385:G385">F386</f>
        <v>0</v>
      </c>
      <c r="G385" s="64">
        <f t="shared" si="179"/>
        <v>0</v>
      </c>
    </row>
    <row r="386" spans="1:7" ht="33">
      <c r="A386" s="67" t="s">
        <v>67</v>
      </c>
      <c r="B386" s="67" t="s">
        <v>645</v>
      </c>
      <c r="C386" s="172" t="s">
        <v>96</v>
      </c>
      <c r="D386" s="173" t="s">
        <v>342</v>
      </c>
      <c r="E386" s="64">
        <f>'№4'!F234</f>
        <v>70</v>
      </c>
      <c r="F386" s="64">
        <f>'№4'!G234</f>
        <v>0</v>
      </c>
      <c r="G386" s="64">
        <f>'№4'!H234</f>
        <v>0</v>
      </c>
    </row>
    <row r="387" spans="1:7" ht="66">
      <c r="A387" s="67" t="s">
        <v>67</v>
      </c>
      <c r="B387" s="67" t="s">
        <v>646</v>
      </c>
      <c r="C387" s="67" t="s">
        <v>93</v>
      </c>
      <c r="D387" s="173" t="s">
        <v>648</v>
      </c>
      <c r="E387" s="64">
        <f>E388</f>
        <v>30</v>
      </c>
      <c r="F387" s="64">
        <f aca="true" t="shared" si="180" ref="F387:G387">F388</f>
        <v>0</v>
      </c>
      <c r="G387" s="64">
        <f t="shared" si="180"/>
        <v>0</v>
      </c>
    </row>
    <row r="388" spans="1:7" ht="33">
      <c r="A388" s="67" t="s">
        <v>67</v>
      </c>
      <c r="B388" s="67" t="s">
        <v>646</v>
      </c>
      <c r="C388" s="172" t="s">
        <v>96</v>
      </c>
      <c r="D388" s="173" t="s">
        <v>342</v>
      </c>
      <c r="E388" s="64">
        <f>'№4'!F236</f>
        <v>30</v>
      </c>
      <c r="F388" s="64">
        <f>'№4'!G236</f>
        <v>0</v>
      </c>
      <c r="G388" s="64">
        <f>'№4'!H236</f>
        <v>0</v>
      </c>
    </row>
    <row r="389" spans="1:7" ht="66">
      <c r="A389" s="15" t="s">
        <v>67</v>
      </c>
      <c r="B389" s="4" t="s">
        <v>643</v>
      </c>
      <c r="C389" s="174"/>
      <c r="D389" s="21" t="s">
        <v>644</v>
      </c>
      <c r="E389" s="64">
        <f>E390</f>
        <v>99</v>
      </c>
      <c r="F389" s="64">
        <f aca="true" t="shared" si="181" ref="F389:G389">F390</f>
        <v>0</v>
      </c>
      <c r="G389" s="64">
        <f t="shared" si="181"/>
        <v>0</v>
      </c>
    </row>
    <row r="390" spans="1:7" ht="33">
      <c r="A390" s="15" t="s">
        <v>67</v>
      </c>
      <c r="B390" s="4" t="s">
        <v>643</v>
      </c>
      <c r="C390" s="174">
        <v>600</v>
      </c>
      <c r="D390" s="5" t="s">
        <v>117</v>
      </c>
      <c r="E390" s="64">
        <f>'№4'!F239</f>
        <v>99</v>
      </c>
      <c r="F390" s="64">
        <f>'№4'!G239</f>
        <v>0</v>
      </c>
      <c r="G390" s="64">
        <f>'№4'!H239</f>
        <v>0</v>
      </c>
    </row>
    <row r="391" spans="1:7" ht="49.5">
      <c r="A391" s="15" t="s">
        <v>67</v>
      </c>
      <c r="B391" s="4" t="s">
        <v>637</v>
      </c>
      <c r="C391" s="174"/>
      <c r="D391" s="173" t="s">
        <v>640</v>
      </c>
      <c r="E391" s="64">
        <f>E392</f>
        <v>1469.2</v>
      </c>
      <c r="F391" s="64">
        <f aca="true" t="shared" si="182" ref="F391:G391">F392</f>
        <v>0</v>
      </c>
      <c r="G391" s="64">
        <f t="shared" si="182"/>
        <v>0</v>
      </c>
    </row>
    <row r="392" spans="1:7" ht="33">
      <c r="A392" s="15" t="s">
        <v>67</v>
      </c>
      <c r="B392" s="4" t="s">
        <v>637</v>
      </c>
      <c r="C392" s="174">
        <v>600</v>
      </c>
      <c r="D392" s="5" t="s">
        <v>117</v>
      </c>
      <c r="E392" s="64">
        <f>'№4'!F241</f>
        <v>1469.2</v>
      </c>
      <c r="F392" s="64">
        <f>'№4'!G241</f>
        <v>0</v>
      </c>
      <c r="G392" s="64">
        <f>'№4'!H241</f>
        <v>0</v>
      </c>
    </row>
    <row r="393" spans="1:7" ht="33">
      <c r="A393" s="15" t="s">
        <v>67</v>
      </c>
      <c r="B393" s="4" t="s">
        <v>245</v>
      </c>
      <c r="C393" s="4"/>
      <c r="D393" s="21" t="s">
        <v>153</v>
      </c>
      <c r="E393" s="64">
        <f>E394</f>
        <v>13320.099999999999</v>
      </c>
      <c r="F393" s="64">
        <f aca="true" t="shared" si="183" ref="F393:G393">F394</f>
        <v>13331.3</v>
      </c>
      <c r="G393" s="64">
        <f t="shared" si="183"/>
        <v>13331.3</v>
      </c>
    </row>
    <row r="394" spans="1:7" ht="33">
      <c r="A394" s="15" t="s">
        <v>67</v>
      </c>
      <c r="B394" s="4" t="s">
        <v>245</v>
      </c>
      <c r="C394" s="174">
        <v>600</v>
      </c>
      <c r="D394" s="5" t="s">
        <v>117</v>
      </c>
      <c r="E394" s="64">
        <f>'№4'!F243</f>
        <v>13320.099999999999</v>
      </c>
      <c r="F394" s="64">
        <f>'№4'!G243</f>
        <v>13331.3</v>
      </c>
      <c r="G394" s="64">
        <f>'№4'!H243</f>
        <v>13331.3</v>
      </c>
    </row>
    <row r="395" spans="1:7" ht="66">
      <c r="A395" s="15" t="s">
        <v>67</v>
      </c>
      <c r="B395" s="4" t="s">
        <v>566</v>
      </c>
      <c r="C395" s="174"/>
      <c r="D395" s="21" t="s">
        <v>567</v>
      </c>
      <c r="E395" s="64">
        <f>E396</f>
        <v>527</v>
      </c>
      <c r="F395" s="64">
        <f aca="true" t="shared" si="184" ref="F395:G395">F396</f>
        <v>0</v>
      </c>
      <c r="G395" s="64">
        <f t="shared" si="184"/>
        <v>0</v>
      </c>
    </row>
    <row r="396" spans="1:7" ht="33">
      <c r="A396" s="15" t="s">
        <v>67</v>
      </c>
      <c r="B396" s="4" t="s">
        <v>566</v>
      </c>
      <c r="C396" s="174">
        <v>600</v>
      </c>
      <c r="D396" s="5" t="s">
        <v>117</v>
      </c>
      <c r="E396" s="64">
        <f>'№4'!F245</f>
        <v>527</v>
      </c>
      <c r="F396" s="64">
        <v>0</v>
      </c>
      <c r="G396" s="64">
        <v>0</v>
      </c>
    </row>
    <row r="397" spans="1:7" ht="33">
      <c r="A397" s="15" t="s">
        <v>67</v>
      </c>
      <c r="B397" s="4" t="s">
        <v>568</v>
      </c>
      <c r="C397" s="174"/>
      <c r="D397" s="21" t="s">
        <v>569</v>
      </c>
      <c r="E397" s="64">
        <f>E398</f>
        <v>32</v>
      </c>
      <c r="F397" s="64">
        <f aca="true" t="shared" si="185" ref="F397:G397">F398</f>
        <v>0</v>
      </c>
      <c r="G397" s="64">
        <f t="shared" si="185"/>
        <v>0</v>
      </c>
    </row>
    <row r="398" spans="1:7" ht="33">
      <c r="A398" s="53" t="s">
        <v>67</v>
      </c>
      <c r="B398" s="4" t="s">
        <v>568</v>
      </c>
      <c r="C398" s="174">
        <v>600</v>
      </c>
      <c r="D398" s="5" t="s">
        <v>117</v>
      </c>
      <c r="E398" s="64">
        <f>'№4'!F247</f>
        <v>32</v>
      </c>
      <c r="F398" s="64">
        <f>'№4'!G247</f>
        <v>0</v>
      </c>
      <c r="G398" s="64">
        <f>'№4'!H247</f>
        <v>0</v>
      </c>
    </row>
    <row r="399" spans="1:7" ht="66">
      <c r="A399" s="15" t="s">
        <v>67</v>
      </c>
      <c r="B399" s="4" t="s">
        <v>686</v>
      </c>
      <c r="C399" s="174"/>
      <c r="D399" s="21" t="s">
        <v>687</v>
      </c>
      <c r="E399" s="64">
        <f>E400</f>
        <v>252.3</v>
      </c>
      <c r="F399" s="64">
        <f aca="true" t="shared" si="186" ref="F399:G399">F400</f>
        <v>0</v>
      </c>
      <c r="G399" s="64">
        <f t="shared" si="186"/>
        <v>0</v>
      </c>
    </row>
    <row r="400" spans="1:7" ht="33">
      <c r="A400" s="15" t="s">
        <v>67</v>
      </c>
      <c r="B400" s="4" t="s">
        <v>686</v>
      </c>
      <c r="C400" s="55">
        <v>600</v>
      </c>
      <c r="D400" s="5" t="s">
        <v>117</v>
      </c>
      <c r="E400" s="64">
        <f>'№4'!F249</f>
        <v>252.3</v>
      </c>
      <c r="F400" s="64">
        <f>'№4'!G249</f>
        <v>0</v>
      </c>
      <c r="G400" s="64">
        <f>'№4'!H249</f>
        <v>0</v>
      </c>
    </row>
    <row r="401" spans="1:7" ht="33">
      <c r="A401" s="54" t="s">
        <v>67</v>
      </c>
      <c r="B401" s="4" t="s">
        <v>570</v>
      </c>
      <c r="C401" s="174"/>
      <c r="D401" s="21" t="s">
        <v>571</v>
      </c>
      <c r="E401" s="64">
        <f>E402</f>
        <v>1</v>
      </c>
      <c r="F401" s="64">
        <f aca="true" t="shared" si="187" ref="F401:G401">F402</f>
        <v>0</v>
      </c>
      <c r="G401" s="64">
        <f t="shared" si="187"/>
        <v>0</v>
      </c>
    </row>
    <row r="402" spans="1:7" ht="33">
      <c r="A402" s="53" t="s">
        <v>67</v>
      </c>
      <c r="B402" s="4" t="s">
        <v>570</v>
      </c>
      <c r="C402" s="174">
        <v>600</v>
      </c>
      <c r="D402" s="5" t="s">
        <v>117</v>
      </c>
      <c r="E402" s="64">
        <f>'№4'!F251</f>
        <v>1</v>
      </c>
      <c r="F402" s="64">
        <f>'№4'!G251</f>
        <v>0</v>
      </c>
      <c r="G402" s="64">
        <f>'№4'!H251</f>
        <v>0</v>
      </c>
    </row>
    <row r="403" spans="1:7" ht="49.5">
      <c r="A403" s="15" t="s">
        <v>67</v>
      </c>
      <c r="B403" s="4" t="s">
        <v>638</v>
      </c>
      <c r="C403" s="55"/>
      <c r="D403" s="173" t="s">
        <v>650</v>
      </c>
      <c r="E403" s="64">
        <f>E404</f>
        <v>14.7</v>
      </c>
      <c r="F403" s="64">
        <f aca="true" t="shared" si="188" ref="F403:G403">F404</f>
        <v>0</v>
      </c>
      <c r="G403" s="64">
        <f t="shared" si="188"/>
        <v>0</v>
      </c>
    </row>
    <row r="404" spans="1:7" ht="33">
      <c r="A404" s="15" t="s">
        <v>67</v>
      </c>
      <c r="B404" s="4" t="s">
        <v>638</v>
      </c>
      <c r="C404" s="55">
        <v>600</v>
      </c>
      <c r="D404" s="5" t="s">
        <v>117</v>
      </c>
      <c r="E404" s="64">
        <f>'№4'!F253</f>
        <v>14.7</v>
      </c>
      <c r="F404" s="64">
        <f>'№4'!G253</f>
        <v>0</v>
      </c>
      <c r="G404" s="64">
        <f>'№4'!H253</f>
        <v>0</v>
      </c>
    </row>
    <row r="405" spans="1:7" ht="66">
      <c r="A405" s="172" t="s">
        <v>67</v>
      </c>
      <c r="B405" s="172" t="s">
        <v>246</v>
      </c>
      <c r="C405" s="172" t="s">
        <v>93</v>
      </c>
      <c r="D405" s="173" t="s">
        <v>412</v>
      </c>
      <c r="E405" s="64">
        <f>E406</f>
        <v>32.1</v>
      </c>
      <c r="F405" s="64">
        <f aca="true" t="shared" si="189" ref="F405:G405">F406</f>
        <v>33.2</v>
      </c>
      <c r="G405" s="64">
        <f t="shared" si="189"/>
        <v>34.3</v>
      </c>
    </row>
    <row r="406" spans="1:7" ht="33">
      <c r="A406" s="172" t="s">
        <v>67</v>
      </c>
      <c r="B406" s="172" t="s">
        <v>246</v>
      </c>
      <c r="C406" s="172" t="s">
        <v>413</v>
      </c>
      <c r="D406" s="173" t="s">
        <v>414</v>
      </c>
      <c r="E406" s="64">
        <f>'№4'!F256</f>
        <v>32.1</v>
      </c>
      <c r="F406" s="64">
        <f>'№4'!G256</f>
        <v>33.2</v>
      </c>
      <c r="G406" s="64">
        <f>'№4'!H256</f>
        <v>34.3</v>
      </c>
    </row>
    <row r="407" spans="1:7" ht="12.75">
      <c r="A407" s="67" t="s">
        <v>67</v>
      </c>
      <c r="B407" s="31">
        <v>9900000000</v>
      </c>
      <c r="C407" s="89"/>
      <c r="D407" s="32" t="s">
        <v>506</v>
      </c>
      <c r="E407" s="64">
        <f>E408</f>
        <v>569.6</v>
      </c>
      <c r="F407" s="64">
        <f aca="true" t="shared" si="190" ref="F407:G408">F408</f>
        <v>0</v>
      </c>
      <c r="G407" s="64">
        <f t="shared" si="190"/>
        <v>0</v>
      </c>
    </row>
    <row r="408" spans="1:7" ht="49.5">
      <c r="A408" s="67" t="s">
        <v>67</v>
      </c>
      <c r="B408" s="31">
        <v>9950000000</v>
      </c>
      <c r="C408" s="87"/>
      <c r="D408" s="5" t="s">
        <v>625</v>
      </c>
      <c r="E408" s="64">
        <f>E409</f>
        <v>569.6</v>
      </c>
      <c r="F408" s="64">
        <f t="shared" si="190"/>
        <v>0</v>
      </c>
      <c r="G408" s="64">
        <f t="shared" si="190"/>
        <v>0</v>
      </c>
    </row>
    <row r="409" spans="1:7" ht="49.5">
      <c r="A409" s="70" t="s">
        <v>67</v>
      </c>
      <c r="B409" s="31" t="s">
        <v>626</v>
      </c>
      <c r="C409" s="87"/>
      <c r="D409" s="5" t="s">
        <v>627</v>
      </c>
      <c r="E409" s="64">
        <f>E410+E411</f>
        <v>569.6</v>
      </c>
      <c r="F409" s="64">
        <f aca="true" t="shared" si="191" ref="F409:G409">F410+F411</f>
        <v>0</v>
      </c>
      <c r="G409" s="64">
        <f t="shared" si="191"/>
        <v>0</v>
      </c>
    </row>
    <row r="410" spans="1:7" ht="33">
      <c r="A410" s="70" t="s">
        <v>67</v>
      </c>
      <c r="B410" s="31" t="s">
        <v>626</v>
      </c>
      <c r="C410" s="172" t="s">
        <v>96</v>
      </c>
      <c r="D410" s="173" t="s">
        <v>342</v>
      </c>
      <c r="E410" s="64">
        <f>'№4'!F260</f>
        <v>30</v>
      </c>
      <c r="F410" s="64">
        <f>'№4'!G260</f>
        <v>0</v>
      </c>
      <c r="G410" s="64">
        <f>'№4'!H260</f>
        <v>0</v>
      </c>
    </row>
    <row r="411" spans="1:7" ht="33">
      <c r="A411" s="70" t="s">
        <v>67</v>
      </c>
      <c r="B411" s="31" t="s">
        <v>626</v>
      </c>
      <c r="C411" s="174">
        <v>600</v>
      </c>
      <c r="D411" s="5" t="s">
        <v>117</v>
      </c>
      <c r="E411" s="64">
        <f>'№4'!F261</f>
        <v>539.6</v>
      </c>
      <c r="F411" s="64">
        <f>'№4'!G261</f>
        <v>0</v>
      </c>
      <c r="G411" s="64">
        <f>'№4'!H261</f>
        <v>0</v>
      </c>
    </row>
    <row r="412" spans="1:7" ht="12.75">
      <c r="A412" s="60" t="s">
        <v>64</v>
      </c>
      <c r="B412" s="60" t="s">
        <v>93</v>
      </c>
      <c r="C412" s="60" t="s">
        <v>93</v>
      </c>
      <c r="D412" s="3" t="s">
        <v>56</v>
      </c>
      <c r="E412" s="62">
        <f>E413+E419+E436</f>
        <v>19970.4</v>
      </c>
      <c r="F412" s="62">
        <f aca="true" t="shared" si="192" ref="F412:G412">F413+F419+F436</f>
        <v>19891.4</v>
      </c>
      <c r="G412" s="62">
        <f t="shared" si="192"/>
        <v>18870.9</v>
      </c>
    </row>
    <row r="413" spans="1:7" ht="12.75">
      <c r="A413" s="172" t="s">
        <v>80</v>
      </c>
      <c r="B413" s="172" t="s">
        <v>93</v>
      </c>
      <c r="C413" s="172" t="s">
        <v>93</v>
      </c>
      <c r="D413" s="173" t="s">
        <v>57</v>
      </c>
      <c r="E413" s="64">
        <f>E414</f>
        <v>1313.3</v>
      </c>
      <c r="F413" s="64">
        <f aca="true" t="shared" si="193" ref="F413:G415">F414</f>
        <v>1773.5</v>
      </c>
      <c r="G413" s="64">
        <f t="shared" si="193"/>
        <v>1773.5</v>
      </c>
    </row>
    <row r="414" spans="1:7" ht="54" customHeight="1">
      <c r="A414" s="172" t="s">
        <v>80</v>
      </c>
      <c r="B414" s="172" t="s">
        <v>200</v>
      </c>
      <c r="C414" s="172" t="s">
        <v>93</v>
      </c>
      <c r="D414" s="173" t="s">
        <v>339</v>
      </c>
      <c r="E414" s="64">
        <f>E415</f>
        <v>1313.3</v>
      </c>
      <c r="F414" s="64">
        <f t="shared" si="193"/>
        <v>1773.5</v>
      </c>
      <c r="G414" s="64">
        <f t="shared" si="193"/>
        <v>1773.5</v>
      </c>
    </row>
    <row r="415" spans="1:7" ht="33">
      <c r="A415" s="172" t="s">
        <v>80</v>
      </c>
      <c r="B415" s="172" t="s">
        <v>249</v>
      </c>
      <c r="C415" s="172" t="s">
        <v>93</v>
      </c>
      <c r="D415" s="173" t="s">
        <v>154</v>
      </c>
      <c r="E415" s="64">
        <f>E416</f>
        <v>1313.3</v>
      </c>
      <c r="F415" s="64">
        <f t="shared" si="193"/>
        <v>1773.5</v>
      </c>
      <c r="G415" s="64">
        <f t="shared" si="193"/>
        <v>1773.5</v>
      </c>
    </row>
    <row r="416" spans="1:7" ht="66">
      <c r="A416" s="172" t="s">
        <v>80</v>
      </c>
      <c r="B416" s="172" t="s">
        <v>250</v>
      </c>
      <c r="C416" s="172" t="s">
        <v>93</v>
      </c>
      <c r="D416" s="173" t="s">
        <v>94</v>
      </c>
      <c r="E416" s="64">
        <f>E418+E417</f>
        <v>1313.3</v>
      </c>
      <c r="F416" s="64">
        <f aca="true" t="shared" si="194" ref="F416:G416">F418+F417</f>
        <v>1773.5</v>
      </c>
      <c r="G416" s="64">
        <f t="shared" si="194"/>
        <v>1773.5</v>
      </c>
    </row>
    <row r="417" spans="1:7" ht="33">
      <c r="A417" s="172" t="s">
        <v>80</v>
      </c>
      <c r="B417" s="172" t="s">
        <v>250</v>
      </c>
      <c r="C417" s="172" t="s">
        <v>96</v>
      </c>
      <c r="D417" s="173" t="s">
        <v>342</v>
      </c>
      <c r="E417" s="64">
        <f>'№4'!F268</f>
        <v>105.9</v>
      </c>
      <c r="F417" s="64">
        <f>'№4'!G268</f>
        <v>0</v>
      </c>
      <c r="G417" s="64">
        <f>'№4'!H268</f>
        <v>0</v>
      </c>
    </row>
    <row r="418" spans="1:7" ht="12.75">
      <c r="A418" s="172" t="s">
        <v>80</v>
      </c>
      <c r="B418" s="172" t="s">
        <v>250</v>
      </c>
      <c r="C418" s="172" t="s">
        <v>100</v>
      </c>
      <c r="D418" s="173" t="s">
        <v>101</v>
      </c>
      <c r="E418" s="64">
        <f>'№4'!F269</f>
        <v>1207.3999999999999</v>
      </c>
      <c r="F418" s="64">
        <f>'№4'!G269</f>
        <v>1773.5</v>
      </c>
      <c r="G418" s="64">
        <f>'№4'!H269</f>
        <v>1773.5</v>
      </c>
    </row>
    <row r="419" spans="1:7" ht="12.75">
      <c r="A419" s="172" t="s">
        <v>65</v>
      </c>
      <c r="B419" s="172" t="s">
        <v>93</v>
      </c>
      <c r="C419" s="172" t="s">
        <v>93</v>
      </c>
      <c r="D419" s="173" t="s">
        <v>59</v>
      </c>
      <c r="E419" s="64">
        <f>E420+E426</f>
        <v>4234.8</v>
      </c>
      <c r="F419" s="64">
        <f aca="true" t="shared" si="195" ref="F419:G419">F420+F426</f>
        <v>2625</v>
      </c>
      <c r="G419" s="64">
        <f t="shared" si="195"/>
        <v>2675.1</v>
      </c>
    </row>
    <row r="420" spans="1:7" ht="66">
      <c r="A420" s="172" t="s">
        <v>65</v>
      </c>
      <c r="B420" s="172" t="s">
        <v>236</v>
      </c>
      <c r="C420" s="172" t="s">
        <v>93</v>
      </c>
      <c r="D420" s="173" t="s">
        <v>456</v>
      </c>
      <c r="E420" s="64">
        <f>E421</f>
        <v>3546.8</v>
      </c>
      <c r="F420" s="64">
        <f aca="true" t="shared" si="196" ref="F420:G422">F421</f>
        <v>1870.8</v>
      </c>
      <c r="G420" s="64">
        <f t="shared" si="196"/>
        <v>1908.3</v>
      </c>
    </row>
    <row r="421" spans="1:7" ht="33">
      <c r="A421" s="172" t="s">
        <v>65</v>
      </c>
      <c r="B421" s="172" t="s">
        <v>288</v>
      </c>
      <c r="C421" s="172" t="s">
        <v>93</v>
      </c>
      <c r="D421" s="173" t="s">
        <v>169</v>
      </c>
      <c r="E421" s="64">
        <f>E422+E424</f>
        <v>3546.8</v>
      </c>
      <c r="F421" s="64">
        <f aca="true" t="shared" si="197" ref="F421:G421">F422+F424</f>
        <v>1870.8</v>
      </c>
      <c r="G421" s="64">
        <f t="shared" si="197"/>
        <v>1908.3</v>
      </c>
    </row>
    <row r="422" spans="1:7" ht="33">
      <c r="A422" s="172" t="s">
        <v>65</v>
      </c>
      <c r="B422" s="172" t="s">
        <v>480</v>
      </c>
      <c r="C422" s="172" t="s">
        <v>93</v>
      </c>
      <c r="D422" s="173" t="s">
        <v>170</v>
      </c>
      <c r="E422" s="64">
        <f>E423</f>
        <v>1762.7</v>
      </c>
      <c r="F422" s="64">
        <f t="shared" si="196"/>
        <v>1870.8</v>
      </c>
      <c r="G422" s="64">
        <f t="shared" si="196"/>
        <v>1908.3</v>
      </c>
    </row>
    <row r="423" spans="1:7" ht="12.75">
      <c r="A423" s="172" t="s">
        <v>65</v>
      </c>
      <c r="B423" s="172" t="s">
        <v>480</v>
      </c>
      <c r="C423" s="172" t="s">
        <v>100</v>
      </c>
      <c r="D423" s="173" t="s">
        <v>101</v>
      </c>
      <c r="E423" s="64">
        <f>'№4'!F440</f>
        <v>1762.7</v>
      </c>
      <c r="F423" s="64">
        <f>'№4'!G440</f>
        <v>1870.8</v>
      </c>
      <c r="G423" s="64">
        <f>'№4'!H440</f>
        <v>1908.3</v>
      </c>
    </row>
    <row r="424" spans="1:7" ht="49.5">
      <c r="A424" s="172" t="s">
        <v>65</v>
      </c>
      <c r="B424" s="172" t="s">
        <v>589</v>
      </c>
      <c r="C424" s="172" t="s">
        <v>93</v>
      </c>
      <c r="D424" s="173" t="s">
        <v>590</v>
      </c>
      <c r="E424" s="64">
        <f>E425</f>
        <v>1784.1</v>
      </c>
      <c r="F424" s="64">
        <f aca="true" t="shared" si="198" ref="F424:G424">F425</f>
        <v>0</v>
      </c>
      <c r="G424" s="64">
        <f t="shared" si="198"/>
        <v>0</v>
      </c>
    </row>
    <row r="425" spans="1:7" ht="12.75">
      <c r="A425" s="172" t="s">
        <v>65</v>
      </c>
      <c r="B425" s="172" t="s">
        <v>589</v>
      </c>
      <c r="C425" s="172" t="s">
        <v>100</v>
      </c>
      <c r="D425" s="173" t="s">
        <v>101</v>
      </c>
      <c r="E425" s="64">
        <f>'№4'!F442</f>
        <v>1784.1</v>
      </c>
      <c r="F425" s="64">
        <f>'№4'!G442</f>
        <v>0</v>
      </c>
      <c r="G425" s="64">
        <f>'№4'!H442</f>
        <v>0</v>
      </c>
    </row>
    <row r="426" spans="1:7" ht="66">
      <c r="A426" s="172" t="s">
        <v>65</v>
      </c>
      <c r="B426" s="172" t="s">
        <v>200</v>
      </c>
      <c r="C426" s="172" t="s">
        <v>93</v>
      </c>
      <c r="D426" s="173" t="s">
        <v>339</v>
      </c>
      <c r="E426" s="64">
        <f>E427+E430</f>
        <v>688</v>
      </c>
      <c r="F426" s="64">
        <f aca="true" t="shared" si="199" ref="F426:G426">F427+F430</f>
        <v>754.2</v>
      </c>
      <c r="G426" s="64">
        <f t="shared" si="199"/>
        <v>766.8</v>
      </c>
    </row>
    <row r="427" spans="1:7" ht="66">
      <c r="A427" s="172" t="s">
        <v>65</v>
      </c>
      <c r="B427" s="172" t="s">
        <v>213</v>
      </c>
      <c r="C427" s="172" t="s">
        <v>93</v>
      </c>
      <c r="D427" s="173" t="s">
        <v>155</v>
      </c>
      <c r="E427" s="64">
        <f>E428</f>
        <v>408</v>
      </c>
      <c r="F427" s="64">
        <f aca="true" t="shared" si="200" ref="F427:G428">F428</f>
        <v>416.2</v>
      </c>
      <c r="G427" s="64">
        <f t="shared" si="200"/>
        <v>424.5</v>
      </c>
    </row>
    <row r="428" spans="1:7" ht="49.5">
      <c r="A428" s="172" t="s">
        <v>65</v>
      </c>
      <c r="B428" s="172" t="s">
        <v>251</v>
      </c>
      <c r="C428" s="172" t="s">
        <v>93</v>
      </c>
      <c r="D428" s="173" t="s">
        <v>417</v>
      </c>
      <c r="E428" s="64">
        <f>E429</f>
        <v>408</v>
      </c>
      <c r="F428" s="64">
        <f t="shared" si="200"/>
        <v>416.2</v>
      </c>
      <c r="G428" s="64">
        <f t="shared" si="200"/>
        <v>424.5</v>
      </c>
    </row>
    <row r="429" spans="1:7" ht="33">
      <c r="A429" s="172" t="s">
        <v>65</v>
      </c>
      <c r="B429" s="172" t="s">
        <v>251</v>
      </c>
      <c r="C429" s="172" t="s">
        <v>413</v>
      </c>
      <c r="D429" s="173" t="s">
        <v>414</v>
      </c>
      <c r="E429" s="64">
        <f>'№4'!F275</f>
        <v>408</v>
      </c>
      <c r="F429" s="64">
        <f>'№4'!G275</f>
        <v>416.2</v>
      </c>
      <c r="G429" s="64">
        <f>'№4'!H275</f>
        <v>424.5</v>
      </c>
    </row>
    <row r="430" spans="1:7" ht="33">
      <c r="A430" s="172" t="s">
        <v>65</v>
      </c>
      <c r="B430" s="172" t="s">
        <v>249</v>
      </c>
      <c r="C430" s="172" t="s">
        <v>93</v>
      </c>
      <c r="D430" s="173" t="s">
        <v>154</v>
      </c>
      <c r="E430" s="64">
        <f>E431+E434</f>
        <v>280</v>
      </c>
      <c r="F430" s="64">
        <f aca="true" t="shared" si="201" ref="F430:G430">F431+F434</f>
        <v>338</v>
      </c>
      <c r="G430" s="64">
        <f t="shared" si="201"/>
        <v>342.3</v>
      </c>
    </row>
    <row r="431" spans="1:7" ht="49.5">
      <c r="A431" s="172" t="s">
        <v>65</v>
      </c>
      <c r="B431" s="172" t="s">
        <v>253</v>
      </c>
      <c r="C431" s="172" t="s">
        <v>93</v>
      </c>
      <c r="D431" s="173" t="s">
        <v>418</v>
      </c>
      <c r="E431" s="64">
        <f>E433+E432</f>
        <v>121</v>
      </c>
      <c r="F431" s="64">
        <f aca="true" t="shared" si="202" ref="F431:G431">F433+F432</f>
        <v>121</v>
      </c>
      <c r="G431" s="64">
        <f t="shared" si="202"/>
        <v>121</v>
      </c>
    </row>
    <row r="432" spans="1:7" ht="33">
      <c r="A432" s="172" t="s">
        <v>65</v>
      </c>
      <c r="B432" s="172" t="s">
        <v>253</v>
      </c>
      <c r="C432" s="172" t="s">
        <v>96</v>
      </c>
      <c r="D432" s="173" t="s">
        <v>342</v>
      </c>
      <c r="E432" s="64">
        <f>'№4'!F279</f>
        <v>6.8</v>
      </c>
      <c r="F432" s="64">
        <f>'№4'!G279</f>
        <v>0</v>
      </c>
      <c r="G432" s="64">
        <f>'№4'!H279</f>
        <v>0</v>
      </c>
    </row>
    <row r="433" spans="1:7" ht="12.75">
      <c r="A433" s="172" t="s">
        <v>65</v>
      </c>
      <c r="B433" s="172" t="s">
        <v>253</v>
      </c>
      <c r="C433" s="172" t="s">
        <v>100</v>
      </c>
      <c r="D433" s="173" t="s">
        <v>101</v>
      </c>
      <c r="E433" s="64">
        <f>'№4'!F280</f>
        <v>114.2</v>
      </c>
      <c r="F433" s="64">
        <f>'№4'!G280</f>
        <v>121</v>
      </c>
      <c r="G433" s="64">
        <f>'№4'!H280</f>
        <v>121</v>
      </c>
    </row>
    <row r="434" spans="1:7" ht="33">
      <c r="A434" s="172" t="s">
        <v>65</v>
      </c>
      <c r="B434" s="172" t="s">
        <v>252</v>
      </c>
      <c r="C434" s="172" t="s">
        <v>93</v>
      </c>
      <c r="D434" s="173" t="s">
        <v>196</v>
      </c>
      <c r="E434" s="64">
        <f>E435</f>
        <v>159</v>
      </c>
      <c r="F434" s="64">
        <f aca="true" t="shared" si="203" ref="F434:G434">F435</f>
        <v>217</v>
      </c>
      <c r="G434" s="64">
        <f t="shared" si="203"/>
        <v>221.3</v>
      </c>
    </row>
    <row r="435" spans="1:7" ht="12.75">
      <c r="A435" s="172" t="s">
        <v>65</v>
      </c>
      <c r="B435" s="172" t="s">
        <v>252</v>
      </c>
      <c r="C435" s="172" t="s">
        <v>100</v>
      </c>
      <c r="D435" s="173" t="s">
        <v>101</v>
      </c>
      <c r="E435" s="64">
        <f>'№4'!F283</f>
        <v>159</v>
      </c>
      <c r="F435" s="64">
        <f>'№4'!G283</f>
        <v>217</v>
      </c>
      <c r="G435" s="64">
        <f>'№4'!H283</f>
        <v>221.3</v>
      </c>
    </row>
    <row r="436" spans="1:7" ht="12.75">
      <c r="A436" s="172" t="s">
        <v>126</v>
      </c>
      <c r="B436" s="172" t="s">
        <v>93</v>
      </c>
      <c r="C436" s="172" t="s">
        <v>93</v>
      </c>
      <c r="D436" s="173" t="s">
        <v>127</v>
      </c>
      <c r="E436" s="64">
        <f>E437+E442</f>
        <v>14422.300000000001</v>
      </c>
      <c r="F436" s="64">
        <f aca="true" t="shared" si="204" ref="F436:G436">F437+F442</f>
        <v>15492.900000000001</v>
      </c>
      <c r="G436" s="64">
        <f t="shared" si="204"/>
        <v>14422.300000000001</v>
      </c>
    </row>
    <row r="437" spans="1:7" ht="49.5">
      <c r="A437" s="172" t="s">
        <v>126</v>
      </c>
      <c r="B437" s="172" t="s">
        <v>280</v>
      </c>
      <c r="C437" s="172" t="s">
        <v>93</v>
      </c>
      <c r="D437" s="173" t="s">
        <v>399</v>
      </c>
      <c r="E437" s="64">
        <f>E438</f>
        <v>9069.300000000001</v>
      </c>
      <c r="F437" s="64">
        <f aca="true" t="shared" si="205" ref="F437:G438">F438</f>
        <v>9069.300000000001</v>
      </c>
      <c r="G437" s="64">
        <f t="shared" si="205"/>
        <v>9069.300000000001</v>
      </c>
    </row>
    <row r="438" spans="1:7" ht="33">
      <c r="A438" s="172" t="s">
        <v>126</v>
      </c>
      <c r="B438" s="172" t="s">
        <v>281</v>
      </c>
      <c r="C438" s="172" t="s">
        <v>93</v>
      </c>
      <c r="D438" s="173" t="s">
        <v>114</v>
      </c>
      <c r="E438" s="64">
        <f>E439</f>
        <v>9069.300000000001</v>
      </c>
      <c r="F438" s="64">
        <f t="shared" si="205"/>
        <v>9069.300000000001</v>
      </c>
      <c r="G438" s="64">
        <f t="shared" si="205"/>
        <v>9069.300000000001</v>
      </c>
    </row>
    <row r="439" spans="1:7" ht="66">
      <c r="A439" s="172" t="s">
        <v>126</v>
      </c>
      <c r="B439" s="172" t="s">
        <v>308</v>
      </c>
      <c r="C439" s="172" t="s">
        <v>93</v>
      </c>
      <c r="D439" s="173" t="s">
        <v>128</v>
      </c>
      <c r="E439" s="64">
        <f>E440+E441</f>
        <v>9069.300000000001</v>
      </c>
      <c r="F439" s="64">
        <f aca="true" t="shared" si="206" ref="F439:G439">F440+F441</f>
        <v>9069.300000000001</v>
      </c>
      <c r="G439" s="64">
        <f t="shared" si="206"/>
        <v>9069.300000000001</v>
      </c>
    </row>
    <row r="440" spans="1:7" ht="33">
      <c r="A440" s="172" t="s">
        <v>126</v>
      </c>
      <c r="B440" s="172" t="s">
        <v>308</v>
      </c>
      <c r="C440" s="172" t="s">
        <v>96</v>
      </c>
      <c r="D440" s="173" t="s">
        <v>342</v>
      </c>
      <c r="E440" s="64">
        <f>'№4'!F577</f>
        <v>250</v>
      </c>
      <c r="F440" s="64">
        <f>'№4'!G577</f>
        <v>264.2</v>
      </c>
      <c r="G440" s="64">
        <f>'№4'!H577</f>
        <v>264.2</v>
      </c>
    </row>
    <row r="441" spans="1:7" ht="12.75">
      <c r="A441" s="172" t="s">
        <v>126</v>
      </c>
      <c r="B441" s="172" t="s">
        <v>308</v>
      </c>
      <c r="C441" s="172" t="s">
        <v>100</v>
      </c>
      <c r="D441" s="173" t="s">
        <v>101</v>
      </c>
      <c r="E441" s="64">
        <f>'№4'!F578</f>
        <v>8819.300000000001</v>
      </c>
      <c r="F441" s="64">
        <f>'№4'!G578</f>
        <v>8805.1</v>
      </c>
      <c r="G441" s="64">
        <f>'№4'!H578</f>
        <v>8805.1</v>
      </c>
    </row>
    <row r="442" spans="1:7" ht="66">
      <c r="A442" s="172" t="s">
        <v>126</v>
      </c>
      <c r="B442" s="172" t="s">
        <v>236</v>
      </c>
      <c r="C442" s="172" t="s">
        <v>93</v>
      </c>
      <c r="D442" s="173" t="s">
        <v>456</v>
      </c>
      <c r="E442" s="64">
        <f>E443</f>
        <v>5353</v>
      </c>
      <c r="F442" s="64">
        <f aca="true" t="shared" si="207" ref="F442:G444">F443</f>
        <v>6423.599999999999</v>
      </c>
      <c r="G442" s="64">
        <f t="shared" si="207"/>
        <v>5353</v>
      </c>
    </row>
    <row r="443" spans="1:7" ht="66">
      <c r="A443" s="172" t="s">
        <v>126</v>
      </c>
      <c r="B443" s="172" t="s">
        <v>272</v>
      </c>
      <c r="C443" s="172" t="s">
        <v>93</v>
      </c>
      <c r="D443" s="173" t="s">
        <v>457</v>
      </c>
      <c r="E443" s="64">
        <f>E444</f>
        <v>5353</v>
      </c>
      <c r="F443" s="64">
        <f t="shared" si="207"/>
        <v>6423.599999999999</v>
      </c>
      <c r="G443" s="64">
        <f t="shared" si="207"/>
        <v>5353</v>
      </c>
    </row>
    <row r="444" spans="1:7" ht="82.5">
      <c r="A444" s="172" t="s">
        <v>126</v>
      </c>
      <c r="B444" s="172" t="s">
        <v>316</v>
      </c>
      <c r="C444" s="172" t="s">
        <v>93</v>
      </c>
      <c r="D444" s="173" t="s">
        <v>614</v>
      </c>
      <c r="E444" s="64">
        <f>E445</f>
        <v>5353</v>
      </c>
      <c r="F444" s="64">
        <f t="shared" si="207"/>
        <v>6423.599999999999</v>
      </c>
      <c r="G444" s="64">
        <f t="shared" si="207"/>
        <v>5353</v>
      </c>
    </row>
    <row r="445" spans="1:7" ht="49.5">
      <c r="A445" s="172" t="s">
        <v>126</v>
      </c>
      <c r="B445" s="172" t="s">
        <v>316</v>
      </c>
      <c r="C445" s="172" t="s">
        <v>99</v>
      </c>
      <c r="D445" s="173" t="s">
        <v>390</v>
      </c>
      <c r="E445" s="64">
        <f>'№4'!F364</f>
        <v>5353</v>
      </c>
      <c r="F445" s="64">
        <f>'№4'!G364</f>
        <v>6423.599999999999</v>
      </c>
      <c r="G445" s="64">
        <f>'№4'!H364</f>
        <v>5353</v>
      </c>
    </row>
    <row r="446" spans="1:7" ht="12.75">
      <c r="A446" s="60" t="s">
        <v>88</v>
      </c>
      <c r="B446" s="60" t="s">
        <v>93</v>
      </c>
      <c r="C446" s="60" t="s">
        <v>93</v>
      </c>
      <c r="D446" s="3" t="s">
        <v>55</v>
      </c>
      <c r="E446" s="62">
        <f>E447+E462</f>
        <v>16791.899999999998</v>
      </c>
      <c r="F446" s="62">
        <f>F447+F462</f>
        <v>13457.1</v>
      </c>
      <c r="G446" s="62">
        <f>G447+G462</f>
        <v>13503.7</v>
      </c>
    </row>
    <row r="447" spans="1:7" ht="12.75">
      <c r="A447" s="172" t="s">
        <v>141</v>
      </c>
      <c r="B447" s="172" t="s">
        <v>93</v>
      </c>
      <c r="C447" s="172" t="s">
        <v>93</v>
      </c>
      <c r="D447" s="173" t="s">
        <v>89</v>
      </c>
      <c r="E447" s="64">
        <f>E448</f>
        <v>14381.699999999997</v>
      </c>
      <c r="F447" s="64">
        <f aca="true" t="shared" si="208" ref="F447:G448">F448</f>
        <v>11167.6</v>
      </c>
      <c r="G447" s="64">
        <f t="shared" si="208"/>
        <v>11214.2</v>
      </c>
    </row>
    <row r="448" spans="1:7" ht="49.5">
      <c r="A448" s="172" t="s">
        <v>141</v>
      </c>
      <c r="B448" s="172" t="s">
        <v>276</v>
      </c>
      <c r="C448" s="172" t="s">
        <v>93</v>
      </c>
      <c r="D448" s="173" t="s">
        <v>464</v>
      </c>
      <c r="E448" s="64">
        <f>E449</f>
        <v>14381.699999999997</v>
      </c>
      <c r="F448" s="64">
        <f t="shared" si="208"/>
        <v>11167.6</v>
      </c>
      <c r="G448" s="64">
        <f t="shared" si="208"/>
        <v>11214.2</v>
      </c>
    </row>
    <row r="449" spans="1:7" ht="33">
      <c r="A449" s="172" t="s">
        <v>141</v>
      </c>
      <c r="B449" s="172" t="s">
        <v>277</v>
      </c>
      <c r="C449" s="172" t="s">
        <v>93</v>
      </c>
      <c r="D449" s="173" t="s">
        <v>139</v>
      </c>
      <c r="E449" s="64">
        <f>E452+E454+E458+E460+E450</f>
        <v>14381.699999999997</v>
      </c>
      <c r="F449" s="64">
        <f aca="true" t="shared" si="209" ref="F449:G449">F452+F454+F458+F460+F450</f>
        <v>11167.6</v>
      </c>
      <c r="G449" s="64">
        <f t="shared" si="209"/>
        <v>11214.2</v>
      </c>
    </row>
    <row r="450" spans="1:7" ht="82.5">
      <c r="A450" s="172" t="s">
        <v>141</v>
      </c>
      <c r="B450" s="172" t="s">
        <v>603</v>
      </c>
      <c r="C450" s="172" t="s">
        <v>93</v>
      </c>
      <c r="D450" s="173" t="s">
        <v>604</v>
      </c>
      <c r="E450" s="64">
        <f>E451</f>
        <v>2467.2</v>
      </c>
      <c r="F450" s="64">
        <f aca="true" t="shared" si="210" ref="F450:G450">F451</f>
        <v>0</v>
      </c>
      <c r="G450" s="64">
        <f t="shared" si="210"/>
        <v>0</v>
      </c>
    </row>
    <row r="451" spans="1:7" ht="33">
      <c r="A451" s="172" t="s">
        <v>141</v>
      </c>
      <c r="B451" s="172" t="s">
        <v>603</v>
      </c>
      <c r="C451" s="172" t="s">
        <v>96</v>
      </c>
      <c r="D451" s="173" t="s">
        <v>342</v>
      </c>
      <c r="E451" s="64">
        <f>'№4'!F458</f>
        <v>2467.2</v>
      </c>
      <c r="F451" s="64">
        <f>'№4'!G458</f>
        <v>0</v>
      </c>
      <c r="G451" s="64">
        <f>'№4'!H458</f>
        <v>0</v>
      </c>
    </row>
    <row r="452" spans="1:7" ht="49.5">
      <c r="A452" s="6" t="s">
        <v>141</v>
      </c>
      <c r="B452" s="6" t="s">
        <v>290</v>
      </c>
      <c r="C452" s="174"/>
      <c r="D452" s="5" t="s">
        <v>143</v>
      </c>
      <c r="E452" s="64">
        <f>E453</f>
        <v>9824.9</v>
      </c>
      <c r="F452" s="64">
        <f aca="true" t="shared" si="211" ref="F452:G452">F453</f>
        <v>9799.1</v>
      </c>
      <c r="G452" s="64">
        <f t="shared" si="211"/>
        <v>9799.1</v>
      </c>
    </row>
    <row r="453" spans="1:7" ht="33">
      <c r="A453" s="6" t="s">
        <v>141</v>
      </c>
      <c r="B453" s="6" t="s">
        <v>290</v>
      </c>
      <c r="C453" s="174">
        <v>600</v>
      </c>
      <c r="D453" s="5" t="s">
        <v>117</v>
      </c>
      <c r="E453" s="64">
        <f>'№4'!F449</f>
        <v>9824.9</v>
      </c>
      <c r="F453" s="64">
        <f>'№4'!G449</f>
        <v>9799.1</v>
      </c>
      <c r="G453" s="64">
        <f>'№4'!H449</f>
        <v>9799.1</v>
      </c>
    </row>
    <row r="454" spans="1:7" ht="33">
      <c r="A454" s="172" t="s">
        <v>141</v>
      </c>
      <c r="B454" s="172" t="s">
        <v>289</v>
      </c>
      <c r="C454" s="172" t="s">
        <v>93</v>
      </c>
      <c r="D454" s="173" t="s">
        <v>142</v>
      </c>
      <c r="E454" s="64">
        <f>E455+E456+E457</f>
        <v>1070.4</v>
      </c>
      <c r="F454" s="64">
        <f aca="true" t="shared" si="212" ref="F454:G454">F455+F456+F457</f>
        <v>1116.6</v>
      </c>
      <c r="G454" s="64">
        <f t="shared" si="212"/>
        <v>1163.2</v>
      </c>
    </row>
    <row r="455" spans="1:7" ht="82.5">
      <c r="A455" s="172" t="s">
        <v>141</v>
      </c>
      <c r="B455" s="172" t="s">
        <v>289</v>
      </c>
      <c r="C455" s="172" t="s">
        <v>95</v>
      </c>
      <c r="D455" s="173" t="s">
        <v>3</v>
      </c>
      <c r="E455" s="64">
        <f>'№4'!F451</f>
        <v>534.5</v>
      </c>
      <c r="F455" s="64">
        <f>'№4'!G451</f>
        <v>544.5</v>
      </c>
      <c r="G455" s="64">
        <f>'№4'!H451</f>
        <v>562.1</v>
      </c>
    </row>
    <row r="456" spans="1:7" ht="33">
      <c r="A456" s="172" t="s">
        <v>141</v>
      </c>
      <c r="B456" s="172" t="s">
        <v>289</v>
      </c>
      <c r="C456" s="172" t="s">
        <v>96</v>
      </c>
      <c r="D456" s="173" t="s">
        <v>342</v>
      </c>
      <c r="E456" s="64">
        <f>'№4'!F452</f>
        <v>439.40000000000003</v>
      </c>
      <c r="F456" s="64">
        <f>'№4'!G452</f>
        <v>501.3</v>
      </c>
      <c r="G456" s="64">
        <f>'№4'!H452</f>
        <v>530.3</v>
      </c>
    </row>
    <row r="457" spans="1:7" ht="12.75">
      <c r="A457" s="172" t="s">
        <v>141</v>
      </c>
      <c r="B457" s="172" t="s">
        <v>289</v>
      </c>
      <c r="C457" s="172" t="s">
        <v>97</v>
      </c>
      <c r="D457" s="173" t="s">
        <v>98</v>
      </c>
      <c r="E457" s="64">
        <f>'№4'!F453</f>
        <v>96.5</v>
      </c>
      <c r="F457" s="64">
        <f>'№4'!G453</f>
        <v>70.8</v>
      </c>
      <c r="G457" s="64">
        <f>'№4'!H453</f>
        <v>70.8</v>
      </c>
    </row>
    <row r="458" spans="1:7" ht="49.5">
      <c r="A458" s="172" t="s">
        <v>141</v>
      </c>
      <c r="B458" s="172" t="s">
        <v>291</v>
      </c>
      <c r="C458" s="172" t="s">
        <v>93</v>
      </c>
      <c r="D458" s="173" t="s">
        <v>144</v>
      </c>
      <c r="E458" s="64">
        <f>E459</f>
        <v>251.9</v>
      </c>
      <c r="F458" s="64">
        <f aca="true" t="shared" si="213" ref="F458:G458">F459</f>
        <v>251.9</v>
      </c>
      <c r="G458" s="64">
        <f t="shared" si="213"/>
        <v>251.9</v>
      </c>
    </row>
    <row r="459" spans="1:7" ht="33">
      <c r="A459" s="172" t="s">
        <v>141</v>
      </c>
      <c r="B459" s="172" t="s">
        <v>291</v>
      </c>
      <c r="C459" s="172" t="s">
        <v>413</v>
      </c>
      <c r="D459" s="173" t="s">
        <v>414</v>
      </c>
      <c r="E459" s="64">
        <f>'№4'!F455</f>
        <v>251.9</v>
      </c>
      <c r="F459" s="64">
        <f>'№4'!G455</f>
        <v>251.9</v>
      </c>
      <c r="G459" s="64">
        <f>'№4'!H455</f>
        <v>251.9</v>
      </c>
    </row>
    <row r="460" spans="1:7" ht="82.5">
      <c r="A460" s="172" t="s">
        <v>141</v>
      </c>
      <c r="B460" s="172" t="s">
        <v>514</v>
      </c>
      <c r="C460" s="172" t="s">
        <v>93</v>
      </c>
      <c r="D460" s="173" t="s">
        <v>599</v>
      </c>
      <c r="E460" s="64">
        <f>E461</f>
        <v>767.3</v>
      </c>
      <c r="F460" s="64">
        <f aca="true" t="shared" si="214" ref="F460:G460">F461</f>
        <v>0</v>
      </c>
      <c r="G460" s="64">
        <f t="shared" si="214"/>
        <v>0</v>
      </c>
    </row>
    <row r="461" spans="1:7" ht="33">
      <c r="A461" s="172" t="s">
        <v>141</v>
      </c>
      <c r="B461" s="172" t="s">
        <v>514</v>
      </c>
      <c r="C461" s="172" t="s">
        <v>96</v>
      </c>
      <c r="D461" s="173" t="s">
        <v>342</v>
      </c>
      <c r="E461" s="64">
        <f>'№4'!F460</f>
        <v>767.3</v>
      </c>
      <c r="F461" s="64">
        <f>'№4'!G460</f>
        <v>0</v>
      </c>
      <c r="G461" s="64">
        <f>'№4'!H460</f>
        <v>0</v>
      </c>
    </row>
    <row r="462" spans="1:7" ht="33">
      <c r="A462" s="172" t="s">
        <v>145</v>
      </c>
      <c r="B462" s="172" t="s">
        <v>93</v>
      </c>
      <c r="C462" s="172" t="s">
        <v>93</v>
      </c>
      <c r="D462" s="173" t="s">
        <v>0</v>
      </c>
      <c r="E462" s="64">
        <f>E463</f>
        <v>2410.2</v>
      </c>
      <c r="F462" s="64">
        <f aca="true" t="shared" si="215" ref="F462:G464">F463</f>
        <v>2289.5</v>
      </c>
      <c r="G462" s="64">
        <f t="shared" si="215"/>
        <v>2289.5</v>
      </c>
    </row>
    <row r="463" spans="1:7" ht="49.5">
      <c r="A463" s="172" t="s">
        <v>145</v>
      </c>
      <c r="B463" s="172" t="s">
        <v>276</v>
      </c>
      <c r="C463" s="172" t="s">
        <v>93</v>
      </c>
      <c r="D463" s="173" t="s">
        <v>464</v>
      </c>
      <c r="E463" s="64">
        <f>E464</f>
        <v>2410.2</v>
      </c>
      <c r="F463" s="64">
        <f t="shared" si="215"/>
        <v>2289.5</v>
      </c>
      <c r="G463" s="64">
        <f t="shared" si="215"/>
        <v>2289.5</v>
      </c>
    </row>
    <row r="464" spans="1:7" ht="12.75">
      <c r="A464" s="172" t="s">
        <v>145</v>
      </c>
      <c r="B464" s="172" t="s">
        <v>292</v>
      </c>
      <c r="C464" s="172" t="s">
        <v>93</v>
      </c>
      <c r="D464" s="173" t="s">
        <v>2</v>
      </c>
      <c r="E464" s="64">
        <f>E465</f>
        <v>2410.2</v>
      </c>
      <c r="F464" s="64">
        <f t="shared" si="215"/>
        <v>2289.5</v>
      </c>
      <c r="G464" s="64">
        <f t="shared" si="215"/>
        <v>2289.5</v>
      </c>
    </row>
    <row r="465" spans="1:7" ht="72" customHeight="1">
      <c r="A465" s="172" t="s">
        <v>145</v>
      </c>
      <c r="B465" s="172" t="s">
        <v>293</v>
      </c>
      <c r="C465" s="172" t="s">
        <v>93</v>
      </c>
      <c r="D465" s="173" t="s">
        <v>343</v>
      </c>
      <c r="E465" s="64">
        <f>E466+E467+E468</f>
        <v>2410.2</v>
      </c>
      <c r="F465" s="64">
        <f aca="true" t="shared" si="216" ref="F465:G465">F466+F467+F468</f>
        <v>2289.5</v>
      </c>
      <c r="G465" s="64">
        <f t="shared" si="216"/>
        <v>2289.5</v>
      </c>
    </row>
    <row r="466" spans="1:7" ht="82.5">
      <c r="A466" s="172" t="s">
        <v>145</v>
      </c>
      <c r="B466" s="172" t="s">
        <v>293</v>
      </c>
      <c r="C466" s="172" t="s">
        <v>95</v>
      </c>
      <c r="D466" s="173" t="s">
        <v>3</v>
      </c>
      <c r="E466" s="64">
        <f>'№4'!F466</f>
        <v>2138.7</v>
      </c>
      <c r="F466" s="64">
        <f>'№4'!G466</f>
        <v>2035.7</v>
      </c>
      <c r="G466" s="64">
        <f>'№4'!H466</f>
        <v>2035.7</v>
      </c>
    </row>
    <row r="467" spans="1:7" ht="33">
      <c r="A467" s="172" t="s">
        <v>145</v>
      </c>
      <c r="B467" s="172" t="s">
        <v>293</v>
      </c>
      <c r="C467" s="172" t="s">
        <v>96</v>
      </c>
      <c r="D467" s="173" t="s">
        <v>342</v>
      </c>
      <c r="E467" s="64">
        <f>'№4'!F467</f>
        <v>271</v>
      </c>
      <c r="F467" s="64">
        <f>'№4'!G467</f>
        <v>253.2</v>
      </c>
      <c r="G467" s="64">
        <f>'№4'!H467</f>
        <v>253.2</v>
      </c>
    </row>
    <row r="468" spans="1:7" ht="12.75">
      <c r="A468" s="172" t="s">
        <v>145</v>
      </c>
      <c r="B468" s="172" t="s">
        <v>293</v>
      </c>
      <c r="C468" s="172" t="s">
        <v>97</v>
      </c>
      <c r="D468" s="173" t="s">
        <v>98</v>
      </c>
      <c r="E468" s="64">
        <f>'№4'!F468</f>
        <v>0.5</v>
      </c>
      <c r="F468" s="64">
        <f>'№4'!G468</f>
        <v>0.6</v>
      </c>
      <c r="G468" s="64">
        <f>'№4'!H468</f>
        <v>0.6</v>
      </c>
    </row>
    <row r="469" spans="1:7" ht="12.75">
      <c r="A469" s="60" t="s">
        <v>332</v>
      </c>
      <c r="B469" s="60" t="s">
        <v>93</v>
      </c>
      <c r="C469" s="60" t="s">
        <v>93</v>
      </c>
      <c r="D469" s="3" t="s">
        <v>90</v>
      </c>
      <c r="E469" s="62">
        <f>E470</f>
        <v>2554.5</v>
      </c>
      <c r="F469" s="62">
        <f aca="true" t="shared" si="217" ref="F469:G471">F470</f>
        <v>2110</v>
      </c>
      <c r="G469" s="62">
        <f t="shared" si="217"/>
        <v>2152.2</v>
      </c>
    </row>
    <row r="470" spans="1:7" ht="33">
      <c r="A470" s="172" t="s">
        <v>91</v>
      </c>
      <c r="B470" s="172" t="s">
        <v>93</v>
      </c>
      <c r="C470" s="172" t="s">
        <v>93</v>
      </c>
      <c r="D470" s="173" t="s">
        <v>92</v>
      </c>
      <c r="E470" s="64">
        <f>E471</f>
        <v>2554.5</v>
      </c>
      <c r="F470" s="64">
        <f t="shared" si="217"/>
        <v>2110</v>
      </c>
      <c r="G470" s="64">
        <f t="shared" si="217"/>
        <v>2152.2</v>
      </c>
    </row>
    <row r="471" spans="1:7" ht="55.5" customHeight="1">
      <c r="A471" s="172" t="s">
        <v>91</v>
      </c>
      <c r="B471" s="172" t="s">
        <v>200</v>
      </c>
      <c r="C471" s="172" t="s">
        <v>93</v>
      </c>
      <c r="D471" s="173" t="s">
        <v>339</v>
      </c>
      <c r="E471" s="64">
        <f>E472</f>
        <v>2554.5</v>
      </c>
      <c r="F471" s="64">
        <f t="shared" si="217"/>
        <v>2110</v>
      </c>
      <c r="G471" s="64">
        <f t="shared" si="217"/>
        <v>2152.2</v>
      </c>
    </row>
    <row r="472" spans="1:7" ht="66">
      <c r="A472" s="172" t="s">
        <v>91</v>
      </c>
      <c r="B472" s="172" t="s">
        <v>213</v>
      </c>
      <c r="C472" s="172" t="s">
        <v>93</v>
      </c>
      <c r="D472" s="173" t="s">
        <v>155</v>
      </c>
      <c r="E472" s="64">
        <f>E475+E477+E479+E473</f>
        <v>2554.5</v>
      </c>
      <c r="F472" s="64">
        <f aca="true" t="shared" si="218" ref="F472:G472">F475+F477+F479+F473</f>
        <v>2110</v>
      </c>
      <c r="G472" s="64">
        <f t="shared" si="218"/>
        <v>2152.2</v>
      </c>
    </row>
    <row r="473" spans="1:7" ht="99">
      <c r="A473" s="15" t="s">
        <v>91</v>
      </c>
      <c r="B473" s="6" t="s">
        <v>586</v>
      </c>
      <c r="C473" s="174"/>
      <c r="D473" s="5" t="s">
        <v>587</v>
      </c>
      <c r="E473" s="64">
        <f>E474</f>
        <v>485.9</v>
      </c>
      <c r="F473" s="64">
        <f aca="true" t="shared" si="219" ref="F473:G473">F474</f>
        <v>0</v>
      </c>
      <c r="G473" s="64">
        <f t="shared" si="219"/>
        <v>0</v>
      </c>
    </row>
    <row r="474" spans="1:7" ht="12.75">
      <c r="A474" s="15" t="s">
        <v>91</v>
      </c>
      <c r="B474" s="6" t="s">
        <v>586</v>
      </c>
      <c r="C474" s="174" t="s">
        <v>97</v>
      </c>
      <c r="D474" s="5" t="s">
        <v>98</v>
      </c>
      <c r="E474" s="64">
        <f>'№4'!F290</f>
        <v>485.9</v>
      </c>
      <c r="F474" s="64">
        <f>'№4'!G290</f>
        <v>0</v>
      </c>
      <c r="G474" s="64">
        <f>'№4'!H290</f>
        <v>0</v>
      </c>
    </row>
    <row r="475" spans="1:7" ht="99">
      <c r="A475" s="172" t="s">
        <v>91</v>
      </c>
      <c r="B475" s="172" t="s">
        <v>254</v>
      </c>
      <c r="C475" s="172" t="s">
        <v>93</v>
      </c>
      <c r="D475" s="173" t="s">
        <v>423</v>
      </c>
      <c r="E475" s="64">
        <f>E476</f>
        <v>942.5</v>
      </c>
      <c r="F475" s="64">
        <f aca="true" t="shared" si="220" ref="F475:G475">F476</f>
        <v>961.4</v>
      </c>
      <c r="G475" s="64">
        <f t="shared" si="220"/>
        <v>980.6</v>
      </c>
    </row>
    <row r="476" spans="1:7" ht="12.75">
      <c r="A476" s="172" t="s">
        <v>91</v>
      </c>
      <c r="B476" s="172" t="s">
        <v>254</v>
      </c>
      <c r="C476" s="172" t="s">
        <v>97</v>
      </c>
      <c r="D476" s="173" t="s">
        <v>98</v>
      </c>
      <c r="E476" s="64">
        <f>'№4'!F292</f>
        <v>942.5</v>
      </c>
      <c r="F476" s="64">
        <f>'№4'!G292</f>
        <v>961.4</v>
      </c>
      <c r="G476" s="64">
        <f>'№4'!H292</f>
        <v>980.6</v>
      </c>
    </row>
    <row r="477" spans="1:7" ht="99">
      <c r="A477" s="172" t="s">
        <v>91</v>
      </c>
      <c r="B477" s="172" t="s">
        <v>255</v>
      </c>
      <c r="C477" s="172" t="s">
        <v>93</v>
      </c>
      <c r="D477" s="173" t="s">
        <v>193</v>
      </c>
      <c r="E477" s="64">
        <f>E478</f>
        <v>489.6</v>
      </c>
      <c r="F477" s="64">
        <f aca="true" t="shared" si="221" ref="F477:G477">F478</f>
        <v>499.4</v>
      </c>
      <c r="G477" s="64">
        <f t="shared" si="221"/>
        <v>509.4</v>
      </c>
    </row>
    <row r="478" spans="1:7" ht="12.75">
      <c r="A478" s="172" t="s">
        <v>91</v>
      </c>
      <c r="B478" s="172" t="s">
        <v>255</v>
      </c>
      <c r="C478" s="172" t="s">
        <v>97</v>
      </c>
      <c r="D478" s="173" t="s">
        <v>98</v>
      </c>
      <c r="E478" s="64">
        <v>489.6</v>
      </c>
      <c r="F478" s="64">
        <v>499.4</v>
      </c>
      <c r="G478" s="64">
        <v>509.4</v>
      </c>
    </row>
    <row r="479" spans="1:7" ht="82.5">
      <c r="A479" s="172" t="s">
        <v>91</v>
      </c>
      <c r="B479" s="172" t="s">
        <v>424</v>
      </c>
      <c r="C479" s="172" t="s">
        <v>93</v>
      </c>
      <c r="D479" s="173" t="s">
        <v>425</v>
      </c>
      <c r="E479" s="64">
        <f>E480</f>
        <v>636.5</v>
      </c>
      <c r="F479" s="64">
        <f aca="true" t="shared" si="222" ref="F479:G479">F480</f>
        <v>649.2</v>
      </c>
      <c r="G479" s="64">
        <f t="shared" si="222"/>
        <v>662.2</v>
      </c>
    </row>
    <row r="480" spans="1:7" ht="12.75">
      <c r="A480" s="172" t="s">
        <v>91</v>
      </c>
      <c r="B480" s="172" t="s">
        <v>424</v>
      </c>
      <c r="C480" s="172" t="s">
        <v>97</v>
      </c>
      <c r="D480" s="173" t="s">
        <v>98</v>
      </c>
      <c r="E480" s="64">
        <f>'№4'!F296</f>
        <v>636.5</v>
      </c>
      <c r="F480" s="64">
        <f>'№4'!G296</f>
        <v>649.2</v>
      </c>
      <c r="G480" s="64">
        <f>'№4'!H296</f>
        <v>662.2</v>
      </c>
    </row>
    <row r="481" spans="1:7" ht="33">
      <c r="A481" s="60" t="s">
        <v>333</v>
      </c>
      <c r="B481" s="60" t="s">
        <v>93</v>
      </c>
      <c r="C481" s="60" t="s">
        <v>93</v>
      </c>
      <c r="D481" s="3" t="s">
        <v>504</v>
      </c>
      <c r="E481" s="62">
        <f>E482</f>
        <v>525.5</v>
      </c>
      <c r="F481" s="62">
        <f aca="true" t="shared" si="223" ref="F481:G485">F482</f>
        <v>237.3</v>
      </c>
      <c r="G481" s="62">
        <f t="shared" si="223"/>
        <v>0</v>
      </c>
    </row>
    <row r="482" spans="1:7" ht="33">
      <c r="A482" s="172" t="s">
        <v>334</v>
      </c>
      <c r="B482" s="172" t="s">
        <v>93</v>
      </c>
      <c r="C482" s="172" t="s">
        <v>93</v>
      </c>
      <c r="D482" s="173" t="s">
        <v>335</v>
      </c>
      <c r="E482" s="64">
        <f>E483</f>
        <v>525.5</v>
      </c>
      <c r="F482" s="64">
        <f t="shared" si="223"/>
        <v>237.3</v>
      </c>
      <c r="G482" s="64">
        <f t="shared" si="223"/>
        <v>0</v>
      </c>
    </row>
    <row r="483" spans="1:7" ht="49.5">
      <c r="A483" s="172" t="s">
        <v>334</v>
      </c>
      <c r="B483" s="172" t="s">
        <v>256</v>
      </c>
      <c r="C483" s="172" t="s">
        <v>93</v>
      </c>
      <c r="D483" s="173" t="s">
        <v>426</v>
      </c>
      <c r="E483" s="64">
        <f>E484</f>
        <v>525.5</v>
      </c>
      <c r="F483" s="64">
        <f t="shared" si="223"/>
        <v>237.3</v>
      </c>
      <c r="G483" s="64">
        <f t="shared" si="223"/>
        <v>0</v>
      </c>
    </row>
    <row r="484" spans="1:7" ht="49.5">
      <c r="A484" s="172" t="s">
        <v>334</v>
      </c>
      <c r="B484" s="172" t="s">
        <v>440</v>
      </c>
      <c r="C484" s="172" t="s">
        <v>93</v>
      </c>
      <c r="D484" s="173" t="s">
        <v>441</v>
      </c>
      <c r="E484" s="64">
        <f>E485</f>
        <v>525.5</v>
      </c>
      <c r="F484" s="64">
        <f t="shared" si="223"/>
        <v>237.3</v>
      </c>
      <c r="G484" s="64">
        <f t="shared" si="223"/>
        <v>0</v>
      </c>
    </row>
    <row r="485" spans="1:7" ht="12.75">
      <c r="A485" s="172" t="s">
        <v>334</v>
      </c>
      <c r="B485" s="172" t="s">
        <v>444</v>
      </c>
      <c r="C485" s="172" t="s">
        <v>93</v>
      </c>
      <c r="D485" s="173" t="s">
        <v>445</v>
      </c>
      <c r="E485" s="64">
        <f>E486</f>
        <v>525.5</v>
      </c>
      <c r="F485" s="64">
        <f t="shared" si="223"/>
        <v>237.3</v>
      </c>
      <c r="G485" s="64">
        <f t="shared" si="223"/>
        <v>0</v>
      </c>
    </row>
    <row r="486" spans="1:7" ht="33">
      <c r="A486" s="172" t="s">
        <v>334</v>
      </c>
      <c r="B486" s="172" t="s">
        <v>444</v>
      </c>
      <c r="C486" s="172" t="s">
        <v>446</v>
      </c>
      <c r="D486" s="173" t="s">
        <v>447</v>
      </c>
      <c r="E486" s="64">
        <f>'№4'!F325</f>
        <v>525.5</v>
      </c>
      <c r="F486" s="64">
        <f>'№4'!G325</f>
        <v>237.3</v>
      </c>
      <c r="G486" s="64">
        <f>'№4'!H325</f>
        <v>0</v>
      </c>
    </row>
  </sheetData>
  <mergeCells count="9">
    <mergeCell ref="A1:G1"/>
    <mergeCell ref="A2:G2"/>
    <mergeCell ref="A3:A5"/>
    <mergeCell ref="B3:B5"/>
    <mergeCell ref="C3:C5"/>
    <mergeCell ref="D3:D5"/>
    <mergeCell ref="E3:G3"/>
    <mergeCell ref="E4:E5"/>
    <mergeCell ref="F4:G4"/>
  </mergeCells>
  <printOptions/>
  <pageMargins left="0.5905511811023623" right="0.1968503937007874" top="0.1968503937007874" bottom="0.1968503937007874" header="0.31496062992125984" footer="0.31496062992125984"/>
  <pageSetup fitToHeight="0" horizontalDpi="600" verticalDpi="600" orientation="portrait" paperSize="9" scale="75" r:id="rId1"/>
  <headerFooter>
    <oddFooter>&amp;C&amp;Ф</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85"/>
  <sheetViews>
    <sheetView workbookViewId="0" topLeftCell="A73">
      <selection activeCell="J8" sqref="J8"/>
    </sheetView>
  </sheetViews>
  <sheetFormatPr defaultColWidth="8.875" defaultRowHeight="12.75"/>
  <cols>
    <col min="1" max="1" width="9.00390625" style="75" customWidth="1"/>
    <col min="2" max="2" width="5.75390625" style="75" customWidth="1"/>
    <col min="3" max="3" width="8.75390625" style="75" customWidth="1"/>
    <col min="4" max="4" width="52.875" style="75" customWidth="1"/>
    <col min="5" max="5" width="11.75390625" style="75" customWidth="1"/>
    <col min="6" max="6" width="11.25390625" style="75" customWidth="1"/>
    <col min="7" max="7" width="12.75390625" style="75" customWidth="1"/>
    <col min="8" max="16384" width="8.875" style="75" customWidth="1"/>
  </cols>
  <sheetData>
    <row r="1" spans="1:7" ht="51.6" customHeight="1">
      <c r="A1" s="211" t="s">
        <v>998</v>
      </c>
      <c r="B1" s="211"/>
      <c r="C1" s="211"/>
      <c r="D1" s="211"/>
      <c r="E1" s="211"/>
      <c r="F1" s="211"/>
      <c r="G1" s="211"/>
    </row>
    <row r="2" spans="1:7" ht="63" customHeight="1">
      <c r="A2" s="212" t="s">
        <v>495</v>
      </c>
      <c r="B2" s="212"/>
      <c r="C2" s="212"/>
      <c r="D2" s="212"/>
      <c r="E2" s="212"/>
      <c r="F2" s="212"/>
      <c r="G2" s="212"/>
    </row>
    <row r="3" spans="1:7" ht="20.65" customHeight="1">
      <c r="A3" s="213" t="s">
        <v>181</v>
      </c>
      <c r="B3" s="213" t="s">
        <v>180</v>
      </c>
      <c r="C3" s="213" t="s">
        <v>21</v>
      </c>
      <c r="D3" s="213" t="s">
        <v>24</v>
      </c>
      <c r="E3" s="213" t="s">
        <v>311</v>
      </c>
      <c r="F3" s="213"/>
      <c r="G3" s="213"/>
    </row>
    <row r="4" spans="1:7" ht="19.5" customHeight="1">
      <c r="A4" s="213" t="s">
        <v>93</v>
      </c>
      <c r="B4" s="213" t="s">
        <v>93</v>
      </c>
      <c r="C4" s="213" t="s">
        <v>93</v>
      </c>
      <c r="D4" s="213" t="s">
        <v>93</v>
      </c>
      <c r="E4" s="213" t="s">
        <v>318</v>
      </c>
      <c r="F4" s="213" t="s">
        <v>328</v>
      </c>
      <c r="G4" s="213"/>
    </row>
    <row r="5" spans="1:7" ht="22.9" customHeight="1">
      <c r="A5" s="213" t="s">
        <v>93</v>
      </c>
      <c r="B5" s="213" t="s">
        <v>93</v>
      </c>
      <c r="C5" s="213" t="s">
        <v>93</v>
      </c>
      <c r="D5" s="213" t="s">
        <v>93</v>
      </c>
      <c r="E5" s="213" t="s">
        <v>318</v>
      </c>
      <c r="F5" s="94" t="s">
        <v>319</v>
      </c>
      <c r="G5" s="94" t="s">
        <v>320</v>
      </c>
    </row>
    <row r="6" spans="1:7" ht="20.85" customHeight="1">
      <c r="A6" s="94" t="s">
        <v>6</v>
      </c>
      <c r="B6" s="94" t="s">
        <v>104</v>
      </c>
      <c r="C6" s="94" t="s">
        <v>105</v>
      </c>
      <c r="D6" s="94" t="s">
        <v>106</v>
      </c>
      <c r="E6" s="94" t="s">
        <v>107</v>
      </c>
      <c r="F6" s="94" t="s">
        <v>108</v>
      </c>
      <c r="G6" s="94" t="s">
        <v>337</v>
      </c>
    </row>
    <row r="7" spans="1:7" ht="21" customHeight="1">
      <c r="A7" s="94" t="s">
        <v>93</v>
      </c>
      <c r="B7" s="94" t="s">
        <v>93</v>
      </c>
      <c r="C7" s="94" t="s">
        <v>93</v>
      </c>
      <c r="D7" s="76" t="s">
        <v>1</v>
      </c>
      <c r="E7" s="77">
        <f>E8+E17+E20+E25+E30+E35+E40+E45+E60+E65+E74</f>
        <v>756431.4000000001</v>
      </c>
      <c r="F7" s="77">
        <f aca="true" t="shared" si="0" ref="F7:G7">F8+F17+F20+F25+F30+F35+F40+F45+F60+F65+F74</f>
        <v>624418.9</v>
      </c>
      <c r="G7" s="77">
        <f t="shared" si="0"/>
        <v>598970.5</v>
      </c>
    </row>
    <row r="8" spans="1:7" ht="66">
      <c r="A8" s="78" t="s">
        <v>182</v>
      </c>
      <c r="B8" s="79" t="s">
        <v>93</v>
      </c>
      <c r="C8" s="79" t="s">
        <v>93</v>
      </c>
      <c r="D8" s="79" t="s">
        <v>399</v>
      </c>
      <c r="E8" s="77">
        <f>E9+E11+E13+E15</f>
        <v>451729.9000000001</v>
      </c>
      <c r="F8" s="77">
        <f aca="true" t="shared" si="1" ref="F8:G8">F9+F11+F13+F15</f>
        <v>420175.60000000003</v>
      </c>
      <c r="G8" s="77">
        <f t="shared" si="1"/>
        <v>415317.39999999997</v>
      </c>
    </row>
    <row r="9" spans="1:7" ht="49.5">
      <c r="A9" s="94" t="s">
        <v>182</v>
      </c>
      <c r="B9" s="94" t="s">
        <v>6</v>
      </c>
      <c r="C9" s="80" t="s">
        <v>93</v>
      </c>
      <c r="D9" s="81" t="s">
        <v>114</v>
      </c>
      <c r="E9" s="82">
        <f>E10</f>
        <v>431300.0000000001</v>
      </c>
      <c r="F9" s="82">
        <f aca="true" t="shared" si="2" ref="F9:G9">F10</f>
        <v>400906.9</v>
      </c>
      <c r="G9" s="82">
        <f t="shared" si="2"/>
        <v>396035.6</v>
      </c>
    </row>
    <row r="10" spans="1:7" ht="33">
      <c r="A10" s="94" t="s">
        <v>182</v>
      </c>
      <c r="B10" s="94" t="s">
        <v>6</v>
      </c>
      <c r="C10" s="94" t="s">
        <v>14</v>
      </c>
      <c r="D10" s="93" t="s">
        <v>524</v>
      </c>
      <c r="E10" s="82">
        <f>'№7'!D9</f>
        <v>431300.0000000001</v>
      </c>
      <c r="F10" s="82">
        <f>'№7'!E9</f>
        <v>400906.9</v>
      </c>
      <c r="G10" s="82">
        <f>'№7'!F9</f>
        <v>396035.6</v>
      </c>
    </row>
    <row r="11" spans="1:7" ht="66">
      <c r="A11" s="94" t="s">
        <v>182</v>
      </c>
      <c r="B11" s="94" t="s">
        <v>104</v>
      </c>
      <c r="C11" s="80" t="s">
        <v>93</v>
      </c>
      <c r="D11" s="81" t="s">
        <v>469</v>
      </c>
      <c r="E11" s="82">
        <f>E12</f>
        <v>5618.1</v>
      </c>
      <c r="F11" s="82">
        <f aca="true" t="shared" si="3" ref="F11:G11">F12</f>
        <v>5340.5</v>
      </c>
      <c r="G11" s="82">
        <f t="shared" si="3"/>
        <v>5353.599999999999</v>
      </c>
    </row>
    <row r="12" spans="1:7" ht="49.5">
      <c r="A12" s="94" t="s">
        <v>182</v>
      </c>
      <c r="B12" s="94" t="s">
        <v>104</v>
      </c>
      <c r="C12" s="94" t="s">
        <v>7</v>
      </c>
      <c r="D12" s="81" t="s">
        <v>11</v>
      </c>
      <c r="E12" s="82">
        <f>'№7'!D69</f>
        <v>5618.1</v>
      </c>
      <c r="F12" s="82">
        <f>'№7'!E69</f>
        <v>5340.5</v>
      </c>
      <c r="G12" s="82">
        <f>'№7'!F69</f>
        <v>5353.599999999999</v>
      </c>
    </row>
    <row r="13" spans="1:7" ht="99">
      <c r="A13" s="94" t="s">
        <v>182</v>
      </c>
      <c r="B13" s="94" t="s">
        <v>105</v>
      </c>
      <c r="C13" s="80" t="s">
        <v>93</v>
      </c>
      <c r="D13" s="81" t="s">
        <v>401</v>
      </c>
      <c r="E13" s="82">
        <f>E14</f>
        <v>807.0999999999999</v>
      </c>
      <c r="F13" s="82">
        <f aca="true" t="shared" si="4" ref="F13:G13">F14</f>
        <v>0</v>
      </c>
      <c r="G13" s="82">
        <f t="shared" si="4"/>
        <v>0</v>
      </c>
    </row>
    <row r="14" spans="1:7" ht="33">
      <c r="A14" s="94" t="s">
        <v>182</v>
      </c>
      <c r="B14" s="94" t="s">
        <v>105</v>
      </c>
      <c r="C14" s="94" t="s">
        <v>25</v>
      </c>
      <c r="D14" s="81" t="s">
        <v>112</v>
      </c>
      <c r="E14" s="82">
        <f>'№7'!D88</f>
        <v>807.0999999999999</v>
      </c>
      <c r="F14" s="82">
        <f>'№7'!E88</f>
        <v>0</v>
      </c>
      <c r="G14" s="82">
        <f>'№7'!F88</f>
        <v>0</v>
      </c>
    </row>
    <row r="15" spans="1:7" ht="12.75">
      <c r="A15" s="94" t="s">
        <v>182</v>
      </c>
      <c r="B15" s="94" t="s">
        <v>109</v>
      </c>
      <c r="C15" s="80" t="s">
        <v>93</v>
      </c>
      <c r="D15" s="81" t="s">
        <v>2</v>
      </c>
      <c r="E15" s="82">
        <f>E16</f>
        <v>14004.699999999997</v>
      </c>
      <c r="F15" s="82">
        <f aca="true" t="shared" si="5" ref="F15:G15">F16</f>
        <v>13928.199999999999</v>
      </c>
      <c r="G15" s="82">
        <f t="shared" si="5"/>
        <v>13928.199999999999</v>
      </c>
    </row>
    <row r="16" spans="1:7" ht="33">
      <c r="A16" s="94" t="s">
        <v>182</v>
      </c>
      <c r="B16" s="94" t="s">
        <v>109</v>
      </c>
      <c r="C16" s="94" t="s">
        <v>14</v>
      </c>
      <c r="D16" s="93" t="s">
        <v>524</v>
      </c>
      <c r="E16" s="82">
        <f>'№7'!D91</f>
        <v>14004.699999999997</v>
      </c>
      <c r="F16" s="82">
        <f>'№7'!E91</f>
        <v>13928.199999999999</v>
      </c>
      <c r="G16" s="82">
        <f>'№7'!F91</f>
        <v>13928.199999999999</v>
      </c>
    </row>
    <row r="17" spans="1:7" ht="66">
      <c r="A17" s="78" t="s">
        <v>183</v>
      </c>
      <c r="B17" s="79" t="s">
        <v>93</v>
      </c>
      <c r="C17" s="79" t="s">
        <v>93</v>
      </c>
      <c r="D17" s="79" t="s">
        <v>405</v>
      </c>
      <c r="E17" s="77">
        <f>E18</f>
        <v>44019.19999999999</v>
      </c>
      <c r="F17" s="77">
        <f aca="true" t="shared" si="6" ref="F17:G18">F18</f>
        <v>37917.5</v>
      </c>
      <c r="G17" s="77">
        <f t="shared" si="6"/>
        <v>37929.59999999999</v>
      </c>
    </row>
    <row r="18" spans="1:7" ht="49.5">
      <c r="A18" s="94" t="s">
        <v>183</v>
      </c>
      <c r="B18" s="94" t="s">
        <v>6</v>
      </c>
      <c r="C18" s="80" t="s">
        <v>93</v>
      </c>
      <c r="D18" s="81" t="s">
        <v>151</v>
      </c>
      <c r="E18" s="82">
        <f>E19</f>
        <v>44019.19999999999</v>
      </c>
      <c r="F18" s="82">
        <f t="shared" si="6"/>
        <v>37917.5</v>
      </c>
      <c r="G18" s="82">
        <f t="shared" si="6"/>
        <v>37929.59999999999</v>
      </c>
    </row>
    <row r="19" spans="1:7" ht="33">
      <c r="A19" s="94" t="s">
        <v>183</v>
      </c>
      <c r="B19" s="94" t="s">
        <v>6</v>
      </c>
      <c r="C19" s="94" t="s">
        <v>25</v>
      </c>
      <c r="D19" s="81" t="s">
        <v>112</v>
      </c>
      <c r="E19" s="82">
        <f>'№7'!D99</f>
        <v>44019.19999999999</v>
      </c>
      <c r="F19" s="82">
        <f>'№7'!E99</f>
        <v>37917.5</v>
      </c>
      <c r="G19" s="82">
        <f>'№7'!F99</f>
        <v>37929.59999999999</v>
      </c>
    </row>
    <row r="20" spans="1:7" ht="66">
      <c r="A20" s="78" t="s">
        <v>184</v>
      </c>
      <c r="B20" s="79" t="s">
        <v>93</v>
      </c>
      <c r="C20" s="79" t="s">
        <v>93</v>
      </c>
      <c r="D20" s="79" t="s">
        <v>464</v>
      </c>
      <c r="E20" s="77">
        <f>E21+E23</f>
        <v>31483.7</v>
      </c>
      <c r="F20" s="77">
        <f aca="true" t="shared" si="7" ref="F20:G20">F21+F23</f>
        <v>26510.6</v>
      </c>
      <c r="G20" s="77">
        <f t="shared" si="7"/>
        <v>26061.2</v>
      </c>
    </row>
    <row r="21" spans="1:7" ht="33">
      <c r="A21" s="94" t="s">
        <v>184</v>
      </c>
      <c r="B21" s="94" t="s">
        <v>6</v>
      </c>
      <c r="C21" s="80" t="s">
        <v>93</v>
      </c>
      <c r="D21" s="81" t="s">
        <v>139</v>
      </c>
      <c r="E21" s="82">
        <f>E22</f>
        <v>29073.5</v>
      </c>
      <c r="F21" s="82">
        <f aca="true" t="shared" si="8" ref="F21:G21">F22</f>
        <v>24221.1</v>
      </c>
      <c r="G21" s="82">
        <f t="shared" si="8"/>
        <v>23771.7</v>
      </c>
    </row>
    <row r="22" spans="1:7" ht="49.5">
      <c r="A22" s="94" t="s">
        <v>184</v>
      </c>
      <c r="B22" s="94" t="s">
        <v>6</v>
      </c>
      <c r="C22" s="94" t="s">
        <v>7</v>
      </c>
      <c r="D22" s="81" t="s">
        <v>11</v>
      </c>
      <c r="E22" s="82">
        <f>'№7'!D143</f>
        <v>29073.5</v>
      </c>
      <c r="F22" s="82">
        <f>'№7'!E143</f>
        <v>24221.1</v>
      </c>
      <c r="G22" s="82">
        <f>'№7'!F143</f>
        <v>23771.7</v>
      </c>
    </row>
    <row r="23" spans="1:7" ht="12.75">
      <c r="A23" s="94" t="s">
        <v>184</v>
      </c>
      <c r="B23" s="94" t="s">
        <v>109</v>
      </c>
      <c r="C23" s="80" t="s">
        <v>93</v>
      </c>
      <c r="D23" s="81" t="s">
        <v>2</v>
      </c>
      <c r="E23" s="82">
        <f>E24</f>
        <v>2410.2</v>
      </c>
      <c r="F23" s="82">
        <f aca="true" t="shared" si="9" ref="F23:G23">F24</f>
        <v>2289.5</v>
      </c>
      <c r="G23" s="82">
        <f t="shared" si="9"/>
        <v>2289.5</v>
      </c>
    </row>
    <row r="24" spans="1:7" ht="49.5">
      <c r="A24" s="94" t="s">
        <v>184</v>
      </c>
      <c r="B24" s="94" t="s">
        <v>109</v>
      </c>
      <c r="C24" s="94" t="s">
        <v>7</v>
      </c>
      <c r="D24" s="81" t="s">
        <v>11</v>
      </c>
      <c r="E24" s="82">
        <f>'№7'!D168</f>
        <v>2410.2</v>
      </c>
      <c r="F24" s="82">
        <f>'№7'!E168</f>
        <v>2289.5</v>
      </c>
      <c r="G24" s="82">
        <f>'№7'!F168</f>
        <v>2289.5</v>
      </c>
    </row>
    <row r="25" spans="1:7" ht="90" customHeight="1">
      <c r="A25" s="78" t="s">
        <v>185</v>
      </c>
      <c r="B25" s="79" t="s">
        <v>93</v>
      </c>
      <c r="C25" s="79" t="s">
        <v>93</v>
      </c>
      <c r="D25" s="79" t="s">
        <v>456</v>
      </c>
      <c r="E25" s="77">
        <f>E26+E28</f>
        <v>8899.8</v>
      </c>
      <c r="F25" s="77">
        <f aca="true" t="shared" si="10" ref="F25:G25">F26+F28</f>
        <v>8294.4</v>
      </c>
      <c r="G25" s="77">
        <f t="shared" si="10"/>
        <v>7261.3</v>
      </c>
    </row>
    <row r="26" spans="1:7" ht="33">
      <c r="A26" s="94" t="s">
        <v>185</v>
      </c>
      <c r="B26" s="94" t="s">
        <v>104</v>
      </c>
      <c r="C26" s="80" t="s">
        <v>93</v>
      </c>
      <c r="D26" s="81" t="s">
        <v>169</v>
      </c>
      <c r="E26" s="82">
        <f>E27</f>
        <v>3546.8</v>
      </c>
      <c r="F26" s="82">
        <f aca="true" t="shared" si="11" ref="F26:G26">F27</f>
        <v>1870.8</v>
      </c>
      <c r="G26" s="82">
        <f t="shared" si="11"/>
        <v>1908.3</v>
      </c>
    </row>
    <row r="27" spans="1:7" ht="49.5">
      <c r="A27" s="94" t="s">
        <v>185</v>
      </c>
      <c r="B27" s="94" t="s">
        <v>104</v>
      </c>
      <c r="C27" s="94" t="s">
        <v>7</v>
      </c>
      <c r="D27" s="81" t="s">
        <v>11</v>
      </c>
      <c r="E27" s="82">
        <f>'№7'!D172</f>
        <v>3546.8</v>
      </c>
      <c r="F27" s="82">
        <f>'№7'!E172</f>
        <v>1870.8</v>
      </c>
      <c r="G27" s="82">
        <f>'№7'!F172</f>
        <v>1908.3</v>
      </c>
    </row>
    <row r="28" spans="1:7" ht="82.5">
      <c r="A28" s="94" t="s">
        <v>185</v>
      </c>
      <c r="B28" s="94" t="s">
        <v>105</v>
      </c>
      <c r="C28" s="80" t="s">
        <v>93</v>
      </c>
      <c r="D28" s="81" t="s">
        <v>457</v>
      </c>
      <c r="E28" s="82">
        <f>E29</f>
        <v>5353</v>
      </c>
      <c r="F28" s="82">
        <f aca="true" t="shared" si="12" ref="F28:G28">F29</f>
        <v>6423.599999999999</v>
      </c>
      <c r="G28" s="82">
        <f t="shared" si="12"/>
        <v>5353</v>
      </c>
    </row>
    <row r="29" spans="1:7" ht="33">
      <c r="A29" s="94" t="s">
        <v>185</v>
      </c>
      <c r="B29" s="94" t="s">
        <v>105</v>
      </c>
      <c r="C29" s="94" t="s">
        <v>58</v>
      </c>
      <c r="D29" s="81" t="s">
        <v>448</v>
      </c>
      <c r="E29" s="82">
        <f>'№7'!D179</f>
        <v>5353</v>
      </c>
      <c r="F29" s="82">
        <f>'№7'!E179</f>
        <v>6423.599999999999</v>
      </c>
      <c r="G29" s="82">
        <f>'№7'!F179</f>
        <v>5353</v>
      </c>
    </row>
    <row r="30" spans="1:7" ht="66">
      <c r="A30" s="78" t="s">
        <v>146</v>
      </c>
      <c r="B30" s="79" t="s">
        <v>93</v>
      </c>
      <c r="C30" s="79" t="s">
        <v>93</v>
      </c>
      <c r="D30" s="79" t="s">
        <v>360</v>
      </c>
      <c r="E30" s="77">
        <f>E31+E33</f>
        <v>25204.400000000005</v>
      </c>
      <c r="F30" s="77">
        <f aca="true" t="shared" si="13" ref="F30:G30">F31+F33</f>
        <v>23756.6</v>
      </c>
      <c r="G30" s="77">
        <f t="shared" si="13"/>
        <v>15049.099999999999</v>
      </c>
    </row>
    <row r="31" spans="1:7" ht="49.5">
      <c r="A31" s="94" t="s">
        <v>146</v>
      </c>
      <c r="B31" s="94" t="s">
        <v>104</v>
      </c>
      <c r="C31" s="80" t="s">
        <v>93</v>
      </c>
      <c r="D31" s="81" t="s">
        <v>385</v>
      </c>
      <c r="E31" s="82">
        <f>E32</f>
        <v>3521</v>
      </c>
      <c r="F31" s="82">
        <f aca="true" t="shared" si="14" ref="F31:G31">F32</f>
        <v>9000</v>
      </c>
      <c r="G31" s="82">
        <f t="shared" si="14"/>
        <v>0</v>
      </c>
    </row>
    <row r="32" spans="1:7" ht="33">
      <c r="A32" s="94" t="s">
        <v>146</v>
      </c>
      <c r="B32" s="94" t="s">
        <v>104</v>
      </c>
      <c r="C32" s="94" t="s">
        <v>25</v>
      </c>
      <c r="D32" s="81" t="s">
        <v>112</v>
      </c>
      <c r="E32" s="82">
        <f>'№7'!D181</f>
        <v>3521</v>
      </c>
      <c r="F32" s="82">
        <f>'№7'!E181</f>
        <v>9000</v>
      </c>
      <c r="G32" s="82">
        <f>'№7'!F181</f>
        <v>0</v>
      </c>
    </row>
    <row r="33" spans="1:7" ht="49.5">
      <c r="A33" s="94" t="s">
        <v>146</v>
      </c>
      <c r="B33" s="94" t="s">
        <v>106</v>
      </c>
      <c r="C33" s="80" t="s">
        <v>93</v>
      </c>
      <c r="D33" s="81" t="s">
        <v>171</v>
      </c>
      <c r="E33" s="82">
        <f>E34</f>
        <v>21683.400000000005</v>
      </c>
      <c r="F33" s="82">
        <f aca="true" t="shared" si="15" ref="F33:G33">F34</f>
        <v>14756.599999999999</v>
      </c>
      <c r="G33" s="82">
        <f t="shared" si="15"/>
        <v>15049.099999999999</v>
      </c>
    </row>
    <row r="34" spans="1:7" ht="33">
      <c r="A34" s="94" t="s">
        <v>146</v>
      </c>
      <c r="B34" s="94" t="s">
        <v>106</v>
      </c>
      <c r="C34" s="94" t="s">
        <v>25</v>
      </c>
      <c r="D34" s="81" t="s">
        <v>112</v>
      </c>
      <c r="E34" s="82">
        <f>'№7'!D188</f>
        <v>21683.400000000005</v>
      </c>
      <c r="F34" s="82">
        <f>'№7'!E188</f>
        <v>14756.599999999999</v>
      </c>
      <c r="G34" s="82">
        <f>'№7'!F188</f>
        <v>15049.099999999999</v>
      </c>
    </row>
    <row r="35" spans="1:7" ht="82.5">
      <c r="A35" s="78" t="s">
        <v>186</v>
      </c>
      <c r="B35" s="79" t="s">
        <v>93</v>
      </c>
      <c r="C35" s="79" t="s">
        <v>93</v>
      </c>
      <c r="D35" s="79" t="s">
        <v>363</v>
      </c>
      <c r="E35" s="77">
        <f>E36+E38</f>
        <v>112527.80000000002</v>
      </c>
      <c r="F35" s="77">
        <f aca="true" t="shared" si="16" ref="F35:G35">F36+F38</f>
        <v>31128.9</v>
      </c>
      <c r="G35" s="77">
        <f t="shared" si="16"/>
        <v>20859.3</v>
      </c>
    </row>
    <row r="36" spans="1:7" ht="49.5">
      <c r="A36" s="94" t="s">
        <v>186</v>
      </c>
      <c r="B36" s="94" t="s">
        <v>6</v>
      </c>
      <c r="C36" s="80" t="s">
        <v>93</v>
      </c>
      <c r="D36" s="93" t="s">
        <v>511</v>
      </c>
      <c r="E36" s="82">
        <f>E37</f>
        <v>108599.80000000002</v>
      </c>
      <c r="F36" s="82">
        <f aca="true" t="shared" si="17" ref="F36:G36">F37</f>
        <v>27628.9</v>
      </c>
      <c r="G36" s="82">
        <f t="shared" si="17"/>
        <v>20859.3</v>
      </c>
    </row>
    <row r="37" spans="1:7" ht="33">
      <c r="A37" s="94" t="s">
        <v>186</v>
      </c>
      <c r="B37" s="94" t="s">
        <v>6</v>
      </c>
      <c r="C37" s="94" t="s">
        <v>25</v>
      </c>
      <c r="D37" s="81" t="s">
        <v>112</v>
      </c>
      <c r="E37" s="82">
        <f>'№7'!D212</f>
        <v>108599.80000000002</v>
      </c>
      <c r="F37" s="82">
        <f>'№7'!E212</f>
        <v>27628.9</v>
      </c>
      <c r="G37" s="82">
        <f>'№7'!F212</f>
        <v>20859.3</v>
      </c>
    </row>
    <row r="38" spans="1:7" ht="49.5">
      <c r="A38" s="94" t="s">
        <v>186</v>
      </c>
      <c r="B38" s="94" t="s">
        <v>104</v>
      </c>
      <c r="C38" s="80" t="s">
        <v>93</v>
      </c>
      <c r="D38" s="81" t="s">
        <v>371</v>
      </c>
      <c r="E38" s="82">
        <f>E39</f>
        <v>3928</v>
      </c>
      <c r="F38" s="82">
        <f aca="true" t="shared" si="18" ref="F38:G38">F39</f>
        <v>3500</v>
      </c>
      <c r="G38" s="82">
        <f t="shared" si="18"/>
        <v>0</v>
      </c>
    </row>
    <row r="39" spans="1:7" ht="33">
      <c r="A39" s="94" t="s">
        <v>186</v>
      </c>
      <c r="B39" s="94" t="s">
        <v>104</v>
      </c>
      <c r="C39" s="94" t="s">
        <v>25</v>
      </c>
      <c r="D39" s="81" t="s">
        <v>112</v>
      </c>
      <c r="E39" s="82">
        <f>'№7'!D233</f>
        <v>3928</v>
      </c>
      <c r="F39" s="82">
        <f>'№7'!E233</f>
        <v>3500</v>
      </c>
      <c r="G39" s="82">
        <f>'№7'!F233</f>
        <v>0</v>
      </c>
    </row>
    <row r="40" spans="1:7" ht="69.75" customHeight="1">
      <c r="A40" s="78" t="s">
        <v>187</v>
      </c>
      <c r="B40" s="79" t="s">
        <v>93</v>
      </c>
      <c r="C40" s="79" t="s">
        <v>93</v>
      </c>
      <c r="D40" s="79" t="s">
        <v>375</v>
      </c>
      <c r="E40" s="77">
        <f>E41+E43</f>
        <v>575.9</v>
      </c>
      <c r="F40" s="77">
        <f aca="true" t="shared" si="19" ref="F40:G40">F41+F43</f>
        <v>243</v>
      </c>
      <c r="G40" s="77">
        <f t="shared" si="19"/>
        <v>247.9</v>
      </c>
    </row>
    <row r="41" spans="1:7" ht="49.5">
      <c r="A41" s="94" t="s">
        <v>187</v>
      </c>
      <c r="B41" s="94" t="s">
        <v>6</v>
      </c>
      <c r="C41" s="80" t="s">
        <v>93</v>
      </c>
      <c r="D41" s="81" t="s">
        <v>164</v>
      </c>
      <c r="E41" s="82">
        <f>E42</f>
        <v>65.3</v>
      </c>
      <c r="F41" s="82">
        <f aca="true" t="shared" si="20" ref="F41:G41">F42</f>
        <v>66.5</v>
      </c>
      <c r="G41" s="82">
        <f t="shared" si="20"/>
        <v>67.9</v>
      </c>
    </row>
    <row r="42" spans="1:7" ht="33">
      <c r="A42" s="94" t="s">
        <v>187</v>
      </c>
      <c r="B42" s="94" t="s">
        <v>6</v>
      </c>
      <c r="C42" s="94" t="s">
        <v>25</v>
      </c>
      <c r="D42" s="81" t="s">
        <v>112</v>
      </c>
      <c r="E42" s="82">
        <f>'№7'!D241</f>
        <v>65.3</v>
      </c>
      <c r="F42" s="82">
        <f>'№7'!E241</f>
        <v>66.5</v>
      </c>
      <c r="G42" s="82">
        <f>'№7'!F241</f>
        <v>67.9</v>
      </c>
    </row>
    <row r="43" spans="1:7" ht="33">
      <c r="A43" s="94" t="s">
        <v>187</v>
      </c>
      <c r="B43" s="94" t="s">
        <v>104</v>
      </c>
      <c r="C43" s="80" t="s">
        <v>93</v>
      </c>
      <c r="D43" s="81" t="s">
        <v>166</v>
      </c>
      <c r="E43" s="82">
        <f>E44</f>
        <v>510.59999999999997</v>
      </c>
      <c r="F43" s="82">
        <f aca="true" t="shared" si="21" ref="F43:G43">F44</f>
        <v>176.5</v>
      </c>
      <c r="G43" s="82">
        <f t="shared" si="21"/>
        <v>180</v>
      </c>
    </row>
    <row r="44" spans="1:7" ht="33">
      <c r="A44" s="94" t="s">
        <v>187</v>
      </c>
      <c r="B44" s="94" t="s">
        <v>104</v>
      </c>
      <c r="C44" s="94" t="s">
        <v>25</v>
      </c>
      <c r="D44" s="81" t="s">
        <v>112</v>
      </c>
      <c r="E44" s="82">
        <f>'№7'!D248</f>
        <v>510.59999999999997</v>
      </c>
      <c r="F44" s="82">
        <f>'№7'!E248</f>
        <v>176.5</v>
      </c>
      <c r="G44" s="82">
        <f>'№7'!F248</f>
        <v>180</v>
      </c>
    </row>
    <row r="45" spans="1:7" ht="66">
      <c r="A45" s="78" t="s">
        <v>133</v>
      </c>
      <c r="B45" s="79" t="s">
        <v>93</v>
      </c>
      <c r="C45" s="79" t="s">
        <v>93</v>
      </c>
      <c r="D45" s="79" t="s">
        <v>339</v>
      </c>
      <c r="E45" s="77">
        <f>E46+E48+E50+E52+E54+E56+E58</f>
        <v>51659.8</v>
      </c>
      <c r="F45" s="77">
        <f aca="true" t="shared" si="22" ref="F45:G45">F46+F48+F50+F52+F54+F56+F58</f>
        <v>50827</v>
      </c>
      <c r="G45" s="77">
        <f t="shared" si="22"/>
        <v>50893.5</v>
      </c>
    </row>
    <row r="46" spans="1:7" ht="82.5">
      <c r="A46" s="94" t="s">
        <v>133</v>
      </c>
      <c r="B46" s="94" t="s">
        <v>6</v>
      </c>
      <c r="C46" s="80" t="s">
        <v>93</v>
      </c>
      <c r="D46" s="81" t="s">
        <v>345</v>
      </c>
      <c r="E46" s="82">
        <f>E47</f>
        <v>1069.7</v>
      </c>
      <c r="F46" s="82">
        <f aca="true" t="shared" si="23" ref="F46:G46">F47</f>
        <v>421.9</v>
      </c>
      <c r="G46" s="82">
        <f t="shared" si="23"/>
        <v>428.5</v>
      </c>
    </row>
    <row r="47" spans="1:7" ht="33">
      <c r="A47" s="94" t="s">
        <v>133</v>
      </c>
      <c r="B47" s="94" t="s">
        <v>6</v>
      </c>
      <c r="C47" s="94" t="s">
        <v>25</v>
      </c>
      <c r="D47" s="81" t="s">
        <v>112</v>
      </c>
      <c r="E47" s="82">
        <f>'№7'!D254</f>
        <v>1069.7</v>
      </c>
      <c r="F47" s="82">
        <f>'№7'!E254</f>
        <v>421.9</v>
      </c>
      <c r="G47" s="82">
        <f>'№7'!F254</f>
        <v>428.5</v>
      </c>
    </row>
    <row r="48" spans="1:7" ht="115.5">
      <c r="A48" s="94" t="s">
        <v>133</v>
      </c>
      <c r="B48" s="94" t="s">
        <v>104</v>
      </c>
      <c r="C48" s="80" t="s">
        <v>93</v>
      </c>
      <c r="D48" s="81" t="s">
        <v>158</v>
      </c>
      <c r="E48" s="82">
        <f>E49</f>
        <v>76.5</v>
      </c>
      <c r="F48" s="82">
        <f aca="true" t="shared" si="24" ref="F48:G48">F49</f>
        <v>78</v>
      </c>
      <c r="G48" s="82">
        <f t="shared" si="24"/>
        <v>79.5</v>
      </c>
    </row>
    <row r="49" spans="1:7" ht="33">
      <c r="A49" s="94" t="s">
        <v>133</v>
      </c>
      <c r="B49" s="94" t="s">
        <v>104</v>
      </c>
      <c r="C49" s="94" t="s">
        <v>25</v>
      </c>
      <c r="D49" s="81" t="s">
        <v>112</v>
      </c>
      <c r="E49" s="82">
        <f>'№7'!D259</f>
        <v>76.5</v>
      </c>
      <c r="F49" s="82">
        <f>'№7'!E259</f>
        <v>78</v>
      </c>
      <c r="G49" s="82">
        <f>'№7'!F259</f>
        <v>79.5</v>
      </c>
    </row>
    <row r="50" spans="1:7" ht="33">
      <c r="A50" s="94" t="s">
        <v>133</v>
      </c>
      <c r="B50" s="94" t="s">
        <v>105</v>
      </c>
      <c r="C50" s="80" t="s">
        <v>93</v>
      </c>
      <c r="D50" s="81" t="s">
        <v>161</v>
      </c>
      <c r="E50" s="82">
        <f>E51</f>
        <v>205.7</v>
      </c>
      <c r="F50" s="82">
        <f aca="true" t="shared" si="25" ref="F50:G50">F51</f>
        <v>109.2</v>
      </c>
      <c r="G50" s="82">
        <f t="shared" si="25"/>
        <v>111.4</v>
      </c>
    </row>
    <row r="51" spans="1:7" ht="33">
      <c r="A51" s="94" t="s">
        <v>133</v>
      </c>
      <c r="B51" s="94" t="s">
        <v>105</v>
      </c>
      <c r="C51" s="94" t="s">
        <v>25</v>
      </c>
      <c r="D51" s="81" t="s">
        <v>112</v>
      </c>
      <c r="E51" s="82">
        <f>'№7'!D264</f>
        <v>205.7</v>
      </c>
      <c r="F51" s="82">
        <f>'№7'!E264</f>
        <v>109.2</v>
      </c>
      <c r="G51" s="82">
        <f>'№7'!F264</f>
        <v>111.4</v>
      </c>
    </row>
    <row r="52" spans="1:7" ht="49.5">
      <c r="A52" s="94" t="s">
        <v>133</v>
      </c>
      <c r="B52" s="94">
        <v>4</v>
      </c>
      <c r="C52" s="80" t="s">
        <v>93</v>
      </c>
      <c r="D52" s="81" t="s">
        <v>162</v>
      </c>
      <c r="E52" s="82">
        <f>E53</f>
        <v>6537.3</v>
      </c>
      <c r="F52" s="82">
        <f aca="true" t="shared" si="26" ref="F52:G52">F53</f>
        <v>6535</v>
      </c>
      <c r="G52" s="82">
        <f t="shared" si="26"/>
        <v>6535</v>
      </c>
    </row>
    <row r="53" spans="1:7" ht="33">
      <c r="A53" s="94" t="s">
        <v>133</v>
      </c>
      <c r="B53" s="94">
        <v>4</v>
      </c>
      <c r="C53" s="94" t="s">
        <v>25</v>
      </c>
      <c r="D53" s="81" t="s">
        <v>112</v>
      </c>
      <c r="E53" s="82">
        <f>'№7'!D269</f>
        <v>6537.3</v>
      </c>
      <c r="F53" s="82">
        <f>'№7'!E269</f>
        <v>6535</v>
      </c>
      <c r="G53" s="82">
        <f>'№7'!F269</f>
        <v>6535</v>
      </c>
    </row>
    <row r="54" spans="1:7" ht="66">
      <c r="A54" s="94" t="s">
        <v>133</v>
      </c>
      <c r="B54" s="94" t="s">
        <v>107</v>
      </c>
      <c r="C54" s="80" t="s">
        <v>93</v>
      </c>
      <c r="D54" s="81" t="s">
        <v>155</v>
      </c>
      <c r="E54" s="82">
        <f>E55</f>
        <v>3024.7</v>
      </c>
      <c r="F54" s="82">
        <f aca="true" t="shared" si="27" ref="F54:G54">F55</f>
        <v>2588.6</v>
      </c>
      <c r="G54" s="82">
        <f t="shared" si="27"/>
        <v>2640.7999999999997</v>
      </c>
    </row>
    <row r="55" spans="1:7" ht="33">
      <c r="A55" s="94" t="s">
        <v>133</v>
      </c>
      <c r="B55" s="94" t="s">
        <v>107</v>
      </c>
      <c r="C55" s="94" t="s">
        <v>25</v>
      </c>
      <c r="D55" s="81" t="s">
        <v>112</v>
      </c>
      <c r="E55" s="82">
        <f>'№7'!D272</f>
        <v>3024.7</v>
      </c>
      <c r="F55" s="82">
        <f>'№7'!E272</f>
        <v>2588.6</v>
      </c>
      <c r="G55" s="82">
        <f>'№7'!F272</f>
        <v>2640.7999999999997</v>
      </c>
    </row>
    <row r="56" spans="1:7" ht="33">
      <c r="A56" s="94" t="s">
        <v>133</v>
      </c>
      <c r="B56" s="94" t="s">
        <v>108</v>
      </c>
      <c r="C56" s="80" t="s">
        <v>93</v>
      </c>
      <c r="D56" s="81" t="s">
        <v>154</v>
      </c>
      <c r="E56" s="82">
        <f>E57</f>
        <v>1593.3</v>
      </c>
      <c r="F56" s="82">
        <f aca="true" t="shared" si="28" ref="F56:G56">F57</f>
        <v>2111.5</v>
      </c>
      <c r="G56" s="82">
        <f t="shared" si="28"/>
        <v>2115.8</v>
      </c>
    </row>
    <row r="57" spans="1:7" ht="33">
      <c r="A57" s="94" t="s">
        <v>133</v>
      </c>
      <c r="B57" s="94" t="s">
        <v>108</v>
      </c>
      <c r="C57" s="94" t="s">
        <v>25</v>
      </c>
      <c r="D57" s="81" t="s">
        <v>112</v>
      </c>
      <c r="E57" s="82">
        <f>'№7'!D285</f>
        <v>1593.3</v>
      </c>
      <c r="F57" s="82">
        <f>'№7'!E285</f>
        <v>2111.5</v>
      </c>
      <c r="G57" s="82">
        <f>'№7'!F285</f>
        <v>2115.8</v>
      </c>
    </row>
    <row r="58" spans="1:7" ht="12.75">
      <c r="A58" s="94" t="s">
        <v>133</v>
      </c>
      <c r="B58" s="94" t="s">
        <v>109</v>
      </c>
      <c r="C58" s="80" t="s">
        <v>93</v>
      </c>
      <c r="D58" s="81" t="s">
        <v>2</v>
      </c>
      <c r="E58" s="82">
        <f>E59</f>
        <v>39152.6</v>
      </c>
      <c r="F58" s="82">
        <f aca="true" t="shared" si="29" ref="F58:G58">F59</f>
        <v>38982.8</v>
      </c>
      <c r="G58" s="82">
        <f t="shared" si="29"/>
        <v>38982.5</v>
      </c>
    </row>
    <row r="59" spans="1:7" ht="33">
      <c r="A59" s="94" t="s">
        <v>133</v>
      </c>
      <c r="B59" s="94" t="s">
        <v>109</v>
      </c>
      <c r="C59" s="94" t="s">
        <v>25</v>
      </c>
      <c r="D59" s="81" t="s">
        <v>112</v>
      </c>
      <c r="E59" s="82">
        <f>'№7'!D292</f>
        <v>39152.6</v>
      </c>
      <c r="F59" s="82">
        <f>'№7'!E292</f>
        <v>38982.8</v>
      </c>
      <c r="G59" s="82">
        <f>'№7'!F292</f>
        <v>38982.5</v>
      </c>
    </row>
    <row r="60" spans="1:7" ht="82.5">
      <c r="A60" s="78" t="s">
        <v>188</v>
      </c>
      <c r="B60" s="79" t="s">
        <v>93</v>
      </c>
      <c r="C60" s="79" t="s">
        <v>93</v>
      </c>
      <c r="D60" s="79" t="s">
        <v>449</v>
      </c>
      <c r="E60" s="77">
        <f>E61+E63</f>
        <v>11223.2</v>
      </c>
      <c r="F60" s="77">
        <f aca="true" t="shared" si="30" ref="F60:G60">F61+F63</f>
        <v>10037.4</v>
      </c>
      <c r="G60" s="77">
        <f t="shared" si="30"/>
        <v>10037.4</v>
      </c>
    </row>
    <row r="61" spans="1:7" ht="49.5">
      <c r="A61" s="94" t="s">
        <v>188</v>
      </c>
      <c r="B61" s="94" t="s">
        <v>6</v>
      </c>
      <c r="C61" s="80" t="s">
        <v>93</v>
      </c>
      <c r="D61" s="81" t="s">
        <v>147</v>
      </c>
      <c r="E61" s="82">
        <f>E62</f>
        <v>5387.000000000001</v>
      </c>
      <c r="F61" s="82">
        <f aca="true" t="shared" si="31" ref="F61:G61">F62</f>
        <v>4263.9</v>
      </c>
      <c r="G61" s="82">
        <f t="shared" si="31"/>
        <v>4263.9</v>
      </c>
    </row>
    <row r="62" spans="1:7" ht="49.5">
      <c r="A62" s="94" t="s">
        <v>188</v>
      </c>
      <c r="B62" s="94" t="s">
        <v>6</v>
      </c>
      <c r="C62" s="94" t="s">
        <v>58</v>
      </c>
      <c r="D62" s="93" t="s">
        <v>542</v>
      </c>
      <c r="E62" s="82">
        <f>'№7'!D308</f>
        <v>5387.000000000001</v>
      </c>
      <c r="F62" s="82">
        <f>'№7'!E308</f>
        <v>4263.9</v>
      </c>
      <c r="G62" s="82">
        <f>'№7'!F308</f>
        <v>4263.9</v>
      </c>
    </row>
    <row r="63" spans="1:7" ht="12.75">
      <c r="A63" s="94" t="s">
        <v>188</v>
      </c>
      <c r="B63" s="94" t="s">
        <v>109</v>
      </c>
      <c r="C63" s="80" t="s">
        <v>93</v>
      </c>
      <c r="D63" s="81" t="s">
        <v>2</v>
      </c>
      <c r="E63" s="82">
        <f>E64</f>
        <v>5836.2</v>
      </c>
      <c r="F63" s="82">
        <f aca="true" t="shared" si="32" ref="F63:G63">F64</f>
        <v>5773.5</v>
      </c>
      <c r="G63" s="82">
        <f t="shared" si="32"/>
        <v>5773.5</v>
      </c>
    </row>
    <row r="64" spans="1:7" ht="49.5">
      <c r="A64" s="94" t="s">
        <v>188</v>
      </c>
      <c r="B64" s="94" t="s">
        <v>109</v>
      </c>
      <c r="C64" s="94" t="s">
        <v>58</v>
      </c>
      <c r="D64" s="93" t="s">
        <v>542</v>
      </c>
      <c r="E64" s="82">
        <f>'№7'!D317</f>
        <v>5836.2</v>
      </c>
      <c r="F64" s="82">
        <f>'№7'!E317</f>
        <v>5773.5</v>
      </c>
      <c r="G64" s="82">
        <f>'№7'!F317</f>
        <v>5773.5</v>
      </c>
    </row>
    <row r="65" spans="1:7" ht="66">
      <c r="A65" s="78" t="s">
        <v>110</v>
      </c>
      <c r="B65" s="79" t="s">
        <v>93</v>
      </c>
      <c r="C65" s="79" t="s">
        <v>93</v>
      </c>
      <c r="D65" s="79" t="s">
        <v>426</v>
      </c>
      <c r="E65" s="77">
        <f>E66+E68+E70+E72</f>
        <v>11188</v>
      </c>
      <c r="F65" s="77">
        <f aca="true" t="shared" si="33" ref="F65:G65">F66+F68+F70+F72</f>
        <v>10922.6</v>
      </c>
      <c r="G65" s="77">
        <f t="shared" si="33"/>
        <v>10708.5</v>
      </c>
    </row>
    <row r="66" spans="1:7" ht="33">
      <c r="A66" s="94" t="s">
        <v>110</v>
      </c>
      <c r="B66" s="94" t="s">
        <v>6</v>
      </c>
      <c r="C66" s="80" t="s">
        <v>93</v>
      </c>
      <c r="D66" s="81" t="s">
        <v>431</v>
      </c>
      <c r="E66" s="82">
        <f>E67</f>
        <v>1114.7</v>
      </c>
      <c r="F66" s="82">
        <f aca="true" t="shared" si="34" ref="F66:G66">F67</f>
        <v>1133.8</v>
      </c>
      <c r="G66" s="82">
        <f t="shared" si="34"/>
        <v>1156</v>
      </c>
    </row>
    <row r="67" spans="1:7" ht="33">
      <c r="A67" s="94" t="s">
        <v>110</v>
      </c>
      <c r="B67" s="94" t="s">
        <v>6</v>
      </c>
      <c r="C67" s="94" t="s">
        <v>60</v>
      </c>
      <c r="D67" s="93" t="s">
        <v>596</v>
      </c>
      <c r="E67" s="82">
        <f>'№7'!D321</f>
        <v>1114.7</v>
      </c>
      <c r="F67" s="82">
        <f>'№7'!E321</f>
        <v>1133.8</v>
      </c>
      <c r="G67" s="82">
        <f>'№7'!F321</f>
        <v>1156</v>
      </c>
    </row>
    <row r="68" spans="1:7" ht="66">
      <c r="A68" s="94" t="s">
        <v>110</v>
      </c>
      <c r="B68" s="94" t="s">
        <v>104</v>
      </c>
      <c r="C68" s="80" t="s">
        <v>93</v>
      </c>
      <c r="D68" s="81" t="s">
        <v>441</v>
      </c>
      <c r="E68" s="82">
        <f>E69</f>
        <v>525.5</v>
      </c>
      <c r="F68" s="82">
        <f aca="true" t="shared" si="35" ref="F68:G68">F69</f>
        <v>237.3</v>
      </c>
      <c r="G68" s="82">
        <f t="shared" si="35"/>
        <v>0</v>
      </c>
    </row>
    <row r="69" spans="1:7" ht="33">
      <c r="A69" s="94" t="s">
        <v>110</v>
      </c>
      <c r="B69" s="94" t="s">
        <v>104</v>
      </c>
      <c r="C69" s="94" t="s">
        <v>60</v>
      </c>
      <c r="D69" s="93" t="s">
        <v>596</v>
      </c>
      <c r="E69" s="82">
        <f>'№7'!D324</f>
        <v>525.5</v>
      </c>
      <c r="F69" s="82">
        <f>'№7'!E324</f>
        <v>237.3</v>
      </c>
      <c r="G69" s="82">
        <f>'№7'!F324</f>
        <v>0</v>
      </c>
    </row>
    <row r="70" spans="1:7" ht="33">
      <c r="A70" s="94" t="s">
        <v>110</v>
      </c>
      <c r="B70" s="94" t="s">
        <v>105</v>
      </c>
      <c r="C70" s="80" t="s">
        <v>93</v>
      </c>
      <c r="D70" s="81" t="s">
        <v>130</v>
      </c>
      <c r="E70" s="82">
        <f>E71</f>
        <v>26.3</v>
      </c>
      <c r="F70" s="82">
        <f aca="true" t="shared" si="36" ref="F70:G70">F71</f>
        <v>30</v>
      </c>
      <c r="G70" s="82">
        <f t="shared" si="36"/>
        <v>31</v>
      </c>
    </row>
    <row r="71" spans="1:7" ht="33">
      <c r="A71" s="94" t="s">
        <v>110</v>
      </c>
      <c r="B71" s="94" t="s">
        <v>105</v>
      </c>
      <c r="C71" s="94" t="s">
        <v>60</v>
      </c>
      <c r="D71" s="93" t="s">
        <v>596</v>
      </c>
      <c r="E71" s="82">
        <f>'№7'!D327</f>
        <v>26.3</v>
      </c>
      <c r="F71" s="82">
        <f>'№7'!E327</f>
        <v>30</v>
      </c>
      <c r="G71" s="82">
        <f>'№7'!F327</f>
        <v>31</v>
      </c>
    </row>
    <row r="72" spans="1:7" ht="12.75">
      <c r="A72" s="94" t="s">
        <v>110</v>
      </c>
      <c r="B72" s="94" t="s">
        <v>109</v>
      </c>
      <c r="C72" s="80" t="s">
        <v>93</v>
      </c>
      <c r="D72" s="81" t="s">
        <v>2</v>
      </c>
      <c r="E72" s="82">
        <f>E73</f>
        <v>9521.5</v>
      </c>
      <c r="F72" s="82">
        <f aca="true" t="shared" si="37" ref="F72:G72">F73</f>
        <v>9521.5</v>
      </c>
      <c r="G72" s="82">
        <f t="shared" si="37"/>
        <v>9521.5</v>
      </c>
    </row>
    <row r="73" spans="1:7" ht="33">
      <c r="A73" s="94" t="s">
        <v>110</v>
      </c>
      <c r="B73" s="94" t="s">
        <v>109</v>
      </c>
      <c r="C73" s="94" t="s">
        <v>60</v>
      </c>
      <c r="D73" s="93" t="s">
        <v>596</v>
      </c>
      <c r="E73" s="82">
        <f>'№7'!D330</f>
        <v>9521.5</v>
      </c>
      <c r="F73" s="82">
        <f>'№7'!E330</f>
        <v>9521.5</v>
      </c>
      <c r="G73" s="82">
        <f>'№7'!F330</f>
        <v>9521.5</v>
      </c>
    </row>
    <row r="74" spans="1:7" ht="33">
      <c r="A74" s="78" t="s">
        <v>189</v>
      </c>
      <c r="B74" s="79" t="s">
        <v>93</v>
      </c>
      <c r="C74" s="79" t="s">
        <v>93</v>
      </c>
      <c r="D74" s="79" t="s">
        <v>429</v>
      </c>
      <c r="E74" s="77">
        <f>E75+E78+E84+E80</f>
        <v>7919.7</v>
      </c>
      <c r="F74" s="77">
        <f>F75+F78+F84+F80</f>
        <v>4605.3</v>
      </c>
      <c r="G74" s="77">
        <f>G75+G78+G84+G80</f>
        <v>4605.3</v>
      </c>
    </row>
    <row r="75" spans="1:7" ht="12.75">
      <c r="A75" s="94" t="s">
        <v>189</v>
      </c>
      <c r="B75" s="94" t="s">
        <v>104</v>
      </c>
      <c r="C75" s="80" t="s">
        <v>93</v>
      </c>
      <c r="D75" s="81" t="s">
        <v>13</v>
      </c>
      <c r="E75" s="82">
        <f>E76+E77</f>
        <v>2000</v>
      </c>
      <c r="F75" s="82">
        <f aca="true" t="shared" si="38" ref="F75:G75">F76+F77</f>
        <v>500</v>
      </c>
      <c r="G75" s="82">
        <f t="shared" si="38"/>
        <v>500</v>
      </c>
    </row>
    <row r="76" spans="1:7" ht="33">
      <c r="A76" s="94" t="s">
        <v>189</v>
      </c>
      <c r="B76" s="94" t="s">
        <v>104</v>
      </c>
      <c r="C76" s="94" t="s">
        <v>60</v>
      </c>
      <c r="D76" s="93" t="s">
        <v>596</v>
      </c>
      <c r="E76" s="82">
        <f>'№7'!D336</f>
        <v>1401.2</v>
      </c>
      <c r="F76" s="82">
        <f>'№7'!E335</f>
        <v>500</v>
      </c>
      <c r="G76" s="82">
        <f>'№7'!F335</f>
        <v>500</v>
      </c>
    </row>
    <row r="77" spans="1:7" ht="33">
      <c r="A77" s="94" t="s">
        <v>189</v>
      </c>
      <c r="B77" s="94" t="s">
        <v>104</v>
      </c>
      <c r="C77" s="94" t="s">
        <v>25</v>
      </c>
      <c r="D77" s="81" t="s">
        <v>112</v>
      </c>
      <c r="E77" s="82">
        <f>'№7'!D337</f>
        <v>598.8</v>
      </c>
      <c r="F77" s="82">
        <f>'№7'!E337</f>
        <v>0</v>
      </c>
      <c r="G77" s="82">
        <f>'№7'!F337</f>
        <v>0</v>
      </c>
    </row>
    <row r="78" spans="1:7" ht="49.5">
      <c r="A78" s="94" t="s">
        <v>189</v>
      </c>
      <c r="B78" s="94" t="s">
        <v>106</v>
      </c>
      <c r="C78" s="80" t="s">
        <v>93</v>
      </c>
      <c r="D78" s="81" t="s">
        <v>437</v>
      </c>
      <c r="E78" s="82">
        <f>E79</f>
        <v>910.1</v>
      </c>
      <c r="F78" s="82">
        <f aca="true" t="shared" si="39" ref="F78:G78">F79</f>
        <v>0</v>
      </c>
      <c r="G78" s="82">
        <f t="shared" si="39"/>
        <v>0</v>
      </c>
    </row>
    <row r="79" spans="1:7" ht="33">
      <c r="A79" s="94" t="s">
        <v>189</v>
      </c>
      <c r="B79" s="94" t="s">
        <v>106</v>
      </c>
      <c r="C79" s="94" t="s">
        <v>25</v>
      </c>
      <c r="D79" s="81" t="s">
        <v>112</v>
      </c>
      <c r="E79" s="82">
        <f>'№7'!D339+'№7'!D341+'№7'!D343</f>
        <v>910.1</v>
      </c>
      <c r="F79" s="82">
        <f>'№7'!E339+'№7'!E341+'№7'!E343</f>
        <v>0</v>
      </c>
      <c r="G79" s="82">
        <f>'№7'!F339+'№7'!F341+'№7'!F343</f>
        <v>0</v>
      </c>
    </row>
    <row r="80" spans="1:7" ht="49.5">
      <c r="A80" s="15">
        <v>99</v>
      </c>
      <c r="B80" s="4" t="s">
        <v>107</v>
      </c>
      <c r="C80" s="92"/>
      <c r="D80" s="21" t="s">
        <v>625</v>
      </c>
      <c r="E80" s="82">
        <f>E81+E82+E83</f>
        <v>950</v>
      </c>
      <c r="F80" s="82">
        <f aca="true" t="shared" si="40" ref="F80:G80">F81+F82+F83</f>
        <v>0</v>
      </c>
      <c r="G80" s="82">
        <f t="shared" si="40"/>
        <v>0</v>
      </c>
    </row>
    <row r="81" spans="1:7" ht="33">
      <c r="A81" s="15">
        <v>99</v>
      </c>
      <c r="B81" s="4" t="s">
        <v>107</v>
      </c>
      <c r="C81" s="94" t="s">
        <v>25</v>
      </c>
      <c r="D81" s="81" t="s">
        <v>112</v>
      </c>
      <c r="E81" s="82">
        <f>'№7'!D347</f>
        <v>569.6</v>
      </c>
      <c r="F81" s="82">
        <f>'№7'!E347</f>
        <v>0</v>
      </c>
      <c r="G81" s="82">
        <f>'№7'!F347</f>
        <v>0</v>
      </c>
    </row>
    <row r="82" spans="1:7" ht="49.5">
      <c r="A82" s="15">
        <v>99</v>
      </c>
      <c r="B82" s="4" t="s">
        <v>107</v>
      </c>
      <c r="C82" s="4" t="s">
        <v>7</v>
      </c>
      <c r="D82" s="5" t="s">
        <v>11</v>
      </c>
      <c r="E82" s="82">
        <f>'№7'!D348</f>
        <v>50</v>
      </c>
      <c r="F82" s="82">
        <f>'№7'!E348</f>
        <v>0</v>
      </c>
      <c r="G82" s="82">
        <f>'№7'!F348</f>
        <v>0</v>
      </c>
    </row>
    <row r="83" spans="1:7" ht="33">
      <c r="A83" s="15">
        <v>99</v>
      </c>
      <c r="B83" s="4" t="s">
        <v>107</v>
      </c>
      <c r="C83" s="4" t="s">
        <v>14</v>
      </c>
      <c r="D83" s="21" t="s">
        <v>524</v>
      </c>
      <c r="E83" s="82">
        <f>'№7'!D349</f>
        <v>330.4</v>
      </c>
      <c r="F83" s="82">
        <f>'№7'!E349</f>
        <v>0</v>
      </c>
      <c r="G83" s="82">
        <f>'№7'!F349</f>
        <v>0</v>
      </c>
    </row>
    <row r="84" spans="1:7" ht="49.5">
      <c r="A84" s="94" t="s">
        <v>189</v>
      </c>
      <c r="B84" s="94" t="s">
        <v>109</v>
      </c>
      <c r="C84" s="80" t="s">
        <v>93</v>
      </c>
      <c r="D84" s="81" t="s">
        <v>5</v>
      </c>
      <c r="E84" s="82">
        <f>E85</f>
        <v>4059.6</v>
      </c>
      <c r="F84" s="82">
        <f aca="true" t="shared" si="41" ref="F84:G84">F85</f>
        <v>4105.3</v>
      </c>
      <c r="G84" s="82">
        <f t="shared" si="41"/>
        <v>4105.3</v>
      </c>
    </row>
    <row r="85" spans="1:7" ht="12.75">
      <c r="A85" s="94" t="s">
        <v>189</v>
      </c>
      <c r="B85" s="94" t="s">
        <v>109</v>
      </c>
      <c r="C85" s="94" t="s">
        <v>19</v>
      </c>
      <c r="D85" s="81" t="s">
        <v>4</v>
      </c>
      <c r="E85" s="82">
        <f>'№7'!D350</f>
        <v>4059.6</v>
      </c>
      <c r="F85" s="82">
        <f>'№7'!E350</f>
        <v>4105.3</v>
      </c>
      <c r="G85" s="82">
        <f>'№7'!F350</f>
        <v>4105.3</v>
      </c>
    </row>
  </sheetData>
  <mergeCells count="9">
    <mergeCell ref="A1:G1"/>
    <mergeCell ref="A2:G2"/>
    <mergeCell ref="A3:A5"/>
    <mergeCell ref="B3:B5"/>
    <mergeCell ref="C3:C5"/>
    <mergeCell ref="D3:D5"/>
    <mergeCell ref="E3:G3"/>
    <mergeCell ref="E4:E5"/>
    <mergeCell ref="F4:G4"/>
  </mergeCells>
  <printOptions/>
  <pageMargins left="0.5905511811023623" right="0.1968503937007874" top="0.1968503937007874" bottom="0.1968503937007874" header="0.31496062992125984" footer="0.31496062992125984"/>
  <pageSetup fitToHeight="0"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F356"/>
  <sheetViews>
    <sheetView workbookViewId="0" topLeftCell="A1">
      <selection activeCell="C367" sqref="C367"/>
    </sheetView>
  </sheetViews>
  <sheetFormatPr defaultColWidth="8.875" defaultRowHeight="12.75"/>
  <cols>
    <col min="1" max="1" width="15.00390625" style="75" customWidth="1"/>
    <col min="2" max="2" width="8.75390625" style="75" customWidth="1"/>
    <col min="3" max="3" width="56.75390625" style="75" customWidth="1"/>
    <col min="4" max="4" width="12.25390625" style="75" customWidth="1"/>
    <col min="5" max="5" width="13.125" style="75" customWidth="1"/>
    <col min="6" max="6" width="12.75390625" style="75" customWidth="1"/>
    <col min="7" max="16384" width="8.875" style="75" customWidth="1"/>
  </cols>
  <sheetData>
    <row r="1" spans="1:6" ht="51.6" customHeight="1">
      <c r="A1" s="211" t="s">
        <v>999</v>
      </c>
      <c r="B1" s="211"/>
      <c r="C1" s="211"/>
      <c r="D1" s="211"/>
      <c r="E1" s="211"/>
      <c r="F1" s="211"/>
    </row>
    <row r="2" spans="1:6" ht="66.75" customHeight="1">
      <c r="A2" s="212" t="s">
        <v>496</v>
      </c>
      <c r="B2" s="212"/>
      <c r="C2" s="212"/>
      <c r="D2" s="212"/>
      <c r="E2" s="212"/>
      <c r="F2" s="212"/>
    </row>
    <row r="3" spans="1:6" ht="12.75">
      <c r="A3" s="236" t="s">
        <v>22</v>
      </c>
      <c r="B3" s="236" t="s">
        <v>21</v>
      </c>
      <c r="C3" s="236" t="s">
        <v>24</v>
      </c>
      <c r="D3" s="236" t="s">
        <v>311</v>
      </c>
      <c r="E3" s="236"/>
      <c r="F3" s="236"/>
    </row>
    <row r="4" spans="1:6" ht="12.75">
      <c r="A4" s="236" t="s">
        <v>93</v>
      </c>
      <c r="B4" s="236" t="s">
        <v>93</v>
      </c>
      <c r="C4" s="236" t="s">
        <v>93</v>
      </c>
      <c r="D4" s="236" t="s">
        <v>318</v>
      </c>
      <c r="E4" s="236" t="s">
        <v>328</v>
      </c>
      <c r="F4" s="236"/>
    </row>
    <row r="5" spans="1:6" ht="12.75">
      <c r="A5" s="236" t="s">
        <v>93</v>
      </c>
      <c r="B5" s="236" t="s">
        <v>93</v>
      </c>
      <c r="C5" s="236" t="s">
        <v>93</v>
      </c>
      <c r="D5" s="236" t="s">
        <v>93</v>
      </c>
      <c r="E5" s="84" t="s">
        <v>319</v>
      </c>
      <c r="F5" s="84" t="s">
        <v>320</v>
      </c>
    </row>
    <row r="6" spans="1:6" ht="12.75">
      <c r="A6" s="84" t="s">
        <v>6</v>
      </c>
      <c r="B6" s="84" t="s">
        <v>104</v>
      </c>
      <c r="C6" s="84" t="s">
        <v>105</v>
      </c>
      <c r="D6" s="84" t="s">
        <v>106</v>
      </c>
      <c r="E6" s="84" t="s">
        <v>107</v>
      </c>
      <c r="F6" s="84" t="s">
        <v>108</v>
      </c>
    </row>
    <row r="7" spans="1:6" ht="12.75">
      <c r="A7" s="237" t="s">
        <v>93</v>
      </c>
      <c r="B7" s="237" t="s">
        <v>93</v>
      </c>
      <c r="C7" s="238" t="s">
        <v>1</v>
      </c>
      <c r="D7" s="239">
        <f>D8+D98+D142+D171+D180+D211+D240+D253+D307+D320+D333</f>
        <v>756431.4000000001</v>
      </c>
      <c r="E7" s="239">
        <f>E8+E98+E142+E171+E180+E211+E240+E253+E307+E320+E333</f>
        <v>624418.9</v>
      </c>
      <c r="F7" s="239">
        <f>F8+F98+F142+F171+F180+F211+F240+F253+F307+F320+F333</f>
        <v>598970.5</v>
      </c>
    </row>
    <row r="8" spans="1:6" ht="49.5">
      <c r="A8" s="237" t="s">
        <v>280</v>
      </c>
      <c r="B8" s="237" t="s">
        <v>93</v>
      </c>
      <c r="C8" s="238" t="s">
        <v>399</v>
      </c>
      <c r="D8" s="239">
        <f>D9+D69+D88+D91</f>
        <v>451729.9000000001</v>
      </c>
      <c r="E8" s="239">
        <f>E9+E69+E88+E91</f>
        <v>420175.60000000003</v>
      </c>
      <c r="F8" s="239">
        <f>F9+F69+F88+F91</f>
        <v>415317.39999999997</v>
      </c>
    </row>
    <row r="9" spans="1:6" ht="49.5">
      <c r="A9" s="237" t="s">
        <v>281</v>
      </c>
      <c r="B9" s="237" t="s">
        <v>93</v>
      </c>
      <c r="C9" s="238" t="s">
        <v>114</v>
      </c>
      <c r="D9" s="239">
        <f>D10+D12+D14+D16+D18+D37+D39+D41+D47+D49+D59+D61+D51+D22+D65+D45+D53+D43+D26+D33+D28+D31+D24+D35+D55+D57+D67+D63+D20</f>
        <v>431300.0000000001</v>
      </c>
      <c r="E9" s="239">
        <f aca="true" t="shared" si="0" ref="E9:F9">E10+E12+E14+E16+E18+E37+E39+E41+E47+E49+E59+E61+E51+E22+E65+E45+E53+E43+E26+E33+E28+E31+E24+E35+E55+E57+E67+E63+E20</f>
        <v>400906.9</v>
      </c>
      <c r="F9" s="239">
        <f t="shared" si="0"/>
        <v>396035.6</v>
      </c>
    </row>
    <row r="10" spans="1:6" ht="72" customHeight="1">
      <c r="A10" s="84" t="s">
        <v>308</v>
      </c>
      <c r="B10" s="240" t="s">
        <v>93</v>
      </c>
      <c r="C10" s="241" t="s">
        <v>128</v>
      </c>
      <c r="D10" s="85">
        <f>D11</f>
        <v>9069.300000000001</v>
      </c>
      <c r="E10" s="85">
        <f aca="true" t="shared" si="1" ref="E10:F10">E11</f>
        <v>9069.300000000001</v>
      </c>
      <c r="F10" s="85">
        <f t="shared" si="1"/>
        <v>9069.300000000001</v>
      </c>
    </row>
    <row r="11" spans="1:6" ht="33">
      <c r="A11" s="84" t="s">
        <v>308</v>
      </c>
      <c r="B11" s="84" t="s">
        <v>14</v>
      </c>
      <c r="C11" s="68" t="s">
        <v>524</v>
      </c>
      <c r="D11" s="85">
        <f>'№4'!F576</f>
        <v>9069.300000000001</v>
      </c>
      <c r="E11" s="85">
        <f>'№4'!G576</f>
        <v>9069.300000000001</v>
      </c>
      <c r="F11" s="85">
        <f>'№4'!H576</f>
        <v>9069.300000000001</v>
      </c>
    </row>
    <row r="12" spans="1:6" ht="66">
      <c r="A12" s="4" t="s">
        <v>297</v>
      </c>
      <c r="B12" s="4"/>
      <c r="C12" s="5" t="s">
        <v>116</v>
      </c>
      <c r="D12" s="85">
        <f>D13</f>
        <v>93411.2</v>
      </c>
      <c r="E12" s="85">
        <f aca="true" t="shared" si="2" ref="E12:F12">E13</f>
        <v>86119</v>
      </c>
      <c r="F12" s="85">
        <f t="shared" si="2"/>
        <v>86119</v>
      </c>
    </row>
    <row r="13" spans="1:6" ht="33">
      <c r="A13" s="4" t="s">
        <v>297</v>
      </c>
      <c r="B13" s="84" t="s">
        <v>14</v>
      </c>
      <c r="C13" s="68" t="s">
        <v>524</v>
      </c>
      <c r="D13" s="85">
        <f>'№4'!F475</f>
        <v>93411.2</v>
      </c>
      <c r="E13" s="85">
        <f>'№4'!G475</f>
        <v>86119</v>
      </c>
      <c r="F13" s="85">
        <f>'№4'!H475</f>
        <v>86119</v>
      </c>
    </row>
    <row r="14" spans="1:6" ht="66">
      <c r="A14" s="4" t="s">
        <v>294</v>
      </c>
      <c r="B14" s="4"/>
      <c r="C14" s="21" t="s">
        <v>115</v>
      </c>
      <c r="D14" s="85">
        <f>D15</f>
        <v>68756.70000000001</v>
      </c>
      <c r="E14" s="85">
        <f aca="true" t="shared" si="3" ref="E14:F14">E15</f>
        <v>68391.1</v>
      </c>
      <c r="F14" s="85">
        <f t="shared" si="3"/>
        <v>68391.1</v>
      </c>
    </row>
    <row r="15" spans="1:6" ht="33">
      <c r="A15" s="4" t="s">
        <v>294</v>
      </c>
      <c r="B15" s="84" t="s">
        <v>14</v>
      </c>
      <c r="C15" s="68" t="s">
        <v>524</v>
      </c>
      <c r="D15" s="85">
        <f>'№4'!F477</f>
        <v>68756.70000000001</v>
      </c>
      <c r="E15" s="85">
        <f>'№4'!G477</f>
        <v>68391.1</v>
      </c>
      <c r="F15" s="85">
        <f>'№4'!H477</f>
        <v>68391.1</v>
      </c>
    </row>
    <row r="16" spans="1:6" ht="49.5">
      <c r="A16" s="84" t="s">
        <v>295</v>
      </c>
      <c r="B16" s="240" t="s">
        <v>93</v>
      </c>
      <c r="C16" s="241" t="s">
        <v>488</v>
      </c>
      <c r="D16" s="85">
        <f>D17</f>
        <v>2777.7</v>
      </c>
      <c r="E16" s="85">
        <f aca="true" t="shared" si="4" ref="E16:F16">E17</f>
        <v>556.7</v>
      </c>
      <c r="F16" s="85">
        <f t="shared" si="4"/>
        <v>0</v>
      </c>
    </row>
    <row r="17" spans="1:6" ht="33">
      <c r="A17" s="84" t="s">
        <v>295</v>
      </c>
      <c r="B17" s="84" t="s">
        <v>14</v>
      </c>
      <c r="C17" s="68" t="s">
        <v>524</v>
      </c>
      <c r="D17" s="85">
        <f>'№4'!F479</f>
        <v>2777.7</v>
      </c>
      <c r="E17" s="85">
        <f>'№4'!G479</f>
        <v>556.7</v>
      </c>
      <c r="F17" s="85">
        <f>'№4'!H479</f>
        <v>0</v>
      </c>
    </row>
    <row r="18" spans="1:6" ht="49.5">
      <c r="A18" s="84" t="s">
        <v>296</v>
      </c>
      <c r="B18" s="240" t="s">
        <v>93</v>
      </c>
      <c r="C18" s="241" t="s">
        <v>121</v>
      </c>
      <c r="D18" s="85">
        <f>D19</f>
        <v>2566.4</v>
      </c>
      <c r="E18" s="85">
        <f aca="true" t="shared" si="5" ref="E18:F18">E19</f>
        <v>3488.7</v>
      </c>
      <c r="F18" s="85">
        <f t="shared" si="5"/>
        <v>0</v>
      </c>
    </row>
    <row r="19" spans="1:6" ht="33">
      <c r="A19" s="84" t="s">
        <v>296</v>
      </c>
      <c r="B19" s="84" t="s">
        <v>14</v>
      </c>
      <c r="C19" s="68" t="s">
        <v>524</v>
      </c>
      <c r="D19" s="85">
        <f>'№4'!F482</f>
        <v>2566.4</v>
      </c>
      <c r="E19" s="85">
        <f>'№4'!G482</f>
        <v>3488.7</v>
      </c>
      <c r="F19" s="85">
        <f>'№4'!H482</f>
        <v>0</v>
      </c>
    </row>
    <row r="20" spans="1:6" ht="49.5">
      <c r="A20" s="67" t="s">
        <v>710</v>
      </c>
      <c r="B20" s="67"/>
      <c r="C20" s="68" t="s">
        <v>711</v>
      </c>
      <c r="D20" s="85">
        <f>D21</f>
        <v>173.8</v>
      </c>
      <c r="E20" s="85">
        <f aca="true" t="shared" si="6" ref="E20:F20">E21</f>
        <v>0</v>
      </c>
      <c r="F20" s="85">
        <f t="shared" si="6"/>
        <v>0</v>
      </c>
    </row>
    <row r="21" spans="1:6" ht="33">
      <c r="A21" s="67" t="s">
        <v>710</v>
      </c>
      <c r="B21" s="84" t="s">
        <v>14</v>
      </c>
      <c r="C21" s="68" t="s">
        <v>524</v>
      </c>
      <c r="D21" s="85">
        <f>'№4'!F484</f>
        <v>173.8</v>
      </c>
      <c r="E21" s="85">
        <f>'№4'!G484</f>
        <v>0</v>
      </c>
      <c r="F21" s="85">
        <f>'№4'!H484</f>
        <v>0</v>
      </c>
    </row>
    <row r="22" spans="1:6" ht="82.5">
      <c r="A22" s="67" t="s">
        <v>543</v>
      </c>
      <c r="B22" s="67" t="s">
        <v>93</v>
      </c>
      <c r="C22" s="68" t="s">
        <v>544</v>
      </c>
      <c r="D22" s="85">
        <f>D23</f>
        <v>90.3</v>
      </c>
      <c r="E22" s="85">
        <f aca="true" t="shared" si="7" ref="E22:F22">E23</f>
        <v>0</v>
      </c>
      <c r="F22" s="85">
        <f t="shared" si="7"/>
        <v>0</v>
      </c>
    </row>
    <row r="23" spans="1:6" ht="33">
      <c r="A23" s="67" t="s">
        <v>543</v>
      </c>
      <c r="B23" s="84" t="s">
        <v>14</v>
      </c>
      <c r="C23" s="68" t="s">
        <v>524</v>
      </c>
      <c r="D23" s="85">
        <f>'№4'!F486</f>
        <v>90.3</v>
      </c>
      <c r="E23" s="85">
        <f>'№4'!G486</f>
        <v>0</v>
      </c>
      <c r="F23" s="85">
        <f>'№4'!H486</f>
        <v>0</v>
      </c>
    </row>
    <row r="24" spans="1:6" ht="99">
      <c r="A24" s="67" t="s">
        <v>607</v>
      </c>
      <c r="B24" s="67" t="s">
        <v>93</v>
      </c>
      <c r="C24" s="68" t="s">
        <v>610</v>
      </c>
      <c r="D24" s="85">
        <f>D25</f>
        <v>2855.7</v>
      </c>
      <c r="E24" s="85">
        <f aca="true" t="shared" si="8" ref="E24:F24">E25</f>
        <v>0</v>
      </c>
      <c r="F24" s="85">
        <f t="shared" si="8"/>
        <v>0</v>
      </c>
    </row>
    <row r="25" spans="1:6" ht="33">
      <c r="A25" s="67" t="s">
        <v>607</v>
      </c>
      <c r="B25" s="84" t="s">
        <v>14</v>
      </c>
      <c r="C25" s="68" t="s">
        <v>524</v>
      </c>
      <c r="D25" s="85">
        <f>'№4'!F488</f>
        <v>2855.7</v>
      </c>
      <c r="E25" s="85">
        <f>'№4'!G488</f>
        <v>0</v>
      </c>
      <c r="F25" s="85">
        <f>'№4'!H488</f>
        <v>0</v>
      </c>
    </row>
    <row r="26" spans="1:6" ht="66">
      <c r="A26" s="4" t="s">
        <v>574</v>
      </c>
      <c r="B26" s="4"/>
      <c r="C26" s="14" t="s">
        <v>575</v>
      </c>
      <c r="D26" s="85">
        <f>D27</f>
        <v>4212.5</v>
      </c>
      <c r="E26" s="85">
        <f aca="true" t="shared" si="9" ref="E26:F26">E27</f>
        <v>0</v>
      </c>
      <c r="F26" s="85">
        <f t="shared" si="9"/>
        <v>0</v>
      </c>
    </row>
    <row r="27" spans="1:6" ht="33">
      <c r="A27" s="4" t="s">
        <v>574</v>
      </c>
      <c r="B27" s="84" t="s">
        <v>14</v>
      </c>
      <c r="C27" s="68" t="s">
        <v>524</v>
      </c>
      <c r="D27" s="85">
        <f>'№4'!F498</f>
        <v>4212.5</v>
      </c>
      <c r="E27" s="85">
        <f>'№4'!G498</f>
        <v>0</v>
      </c>
      <c r="F27" s="85">
        <f>'№4'!H498</f>
        <v>0</v>
      </c>
    </row>
    <row r="28" spans="1:6" ht="33">
      <c r="A28" s="6" t="s">
        <v>582</v>
      </c>
      <c r="B28" s="180"/>
      <c r="C28" s="5" t="s">
        <v>585</v>
      </c>
      <c r="D28" s="85">
        <f>D29+D30</f>
        <v>3012.5</v>
      </c>
      <c r="E28" s="85">
        <f aca="true" t="shared" si="10" ref="E28:F28">E29+E30</f>
        <v>0</v>
      </c>
      <c r="F28" s="85">
        <f t="shared" si="10"/>
        <v>0</v>
      </c>
    </row>
    <row r="29" spans="1:6" ht="49.5">
      <c r="A29" s="4" t="s">
        <v>582</v>
      </c>
      <c r="B29" s="4" t="s">
        <v>7</v>
      </c>
      <c r="C29" s="21" t="s">
        <v>11</v>
      </c>
      <c r="D29" s="85">
        <f>'№4'!F413</f>
        <v>236.1</v>
      </c>
      <c r="E29" s="85">
        <f>'№4'!G413</f>
        <v>0</v>
      </c>
      <c r="F29" s="85">
        <f>'№4'!H413</f>
        <v>0</v>
      </c>
    </row>
    <row r="30" spans="1:6" ht="33">
      <c r="A30" s="4" t="s">
        <v>582</v>
      </c>
      <c r="B30" s="4" t="s">
        <v>14</v>
      </c>
      <c r="C30" s="68" t="s">
        <v>524</v>
      </c>
      <c r="D30" s="85">
        <f>'№4'!F553</f>
        <v>2776.4</v>
      </c>
      <c r="E30" s="85">
        <f>'№4'!G553</f>
        <v>0</v>
      </c>
      <c r="F30" s="85">
        <f>'№4'!H553</f>
        <v>0</v>
      </c>
    </row>
    <row r="31" spans="1:6" ht="49.5">
      <c r="A31" s="6" t="s">
        <v>583</v>
      </c>
      <c r="B31" s="180"/>
      <c r="C31" s="5" t="s">
        <v>584</v>
      </c>
      <c r="D31" s="85">
        <f>D32</f>
        <v>53.400000000000006</v>
      </c>
      <c r="E31" s="85">
        <f aca="true" t="shared" si="11" ref="E31:F31">E32</f>
        <v>0</v>
      </c>
      <c r="F31" s="85">
        <f t="shared" si="11"/>
        <v>0</v>
      </c>
    </row>
    <row r="32" spans="1:6" ht="33">
      <c r="A32" s="4" t="s">
        <v>583</v>
      </c>
      <c r="B32" s="4" t="s">
        <v>14</v>
      </c>
      <c r="C32" s="68" t="s">
        <v>524</v>
      </c>
      <c r="D32" s="85">
        <f>'№4'!F551</f>
        <v>53.400000000000006</v>
      </c>
      <c r="E32" s="85">
        <f>'№4'!G551</f>
        <v>0</v>
      </c>
      <c r="F32" s="85">
        <f>'№4'!H551</f>
        <v>0</v>
      </c>
    </row>
    <row r="33" spans="1:6" ht="82.5">
      <c r="A33" s="4" t="s">
        <v>579</v>
      </c>
      <c r="B33" s="4"/>
      <c r="C33" s="68" t="s">
        <v>581</v>
      </c>
      <c r="D33" s="85">
        <f>D34</f>
        <v>5153.9</v>
      </c>
      <c r="E33" s="85">
        <f aca="true" t="shared" si="12" ref="E33:F33">E34</f>
        <v>0</v>
      </c>
      <c r="F33" s="85">
        <f t="shared" si="12"/>
        <v>0</v>
      </c>
    </row>
    <row r="34" spans="1:6" ht="33">
      <c r="A34" s="4" t="s">
        <v>579</v>
      </c>
      <c r="B34" s="84" t="s">
        <v>14</v>
      </c>
      <c r="C34" s="68" t="s">
        <v>524</v>
      </c>
      <c r="D34" s="85">
        <f>'№4'!F500</f>
        <v>5153.9</v>
      </c>
      <c r="E34" s="85">
        <f>'№4'!G500</f>
        <v>0</v>
      </c>
      <c r="F34" s="85">
        <f>'№4'!H500</f>
        <v>0</v>
      </c>
    </row>
    <row r="35" spans="1:6" ht="82.5">
      <c r="A35" s="67" t="s">
        <v>606</v>
      </c>
      <c r="B35" s="67" t="s">
        <v>93</v>
      </c>
      <c r="C35" s="68" t="s">
        <v>609</v>
      </c>
      <c r="D35" s="85">
        <f>D36</f>
        <v>205.9</v>
      </c>
      <c r="E35" s="85">
        <f aca="true" t="shared" si="13" ref="E35:F35">E36</f>
        <v>0</v>
      </c>
      <c r="F35" s="85">
        <f t="shared" si="13"/>
        <v>0</v>
      </c>
    </row>
    <row r="36" spans="1:6" ht="33">
      <c r="A36" s="67" t="s">
        <v>606</v>
      </c>
      <c r="B36" s="84" t="s">
        <v>14</v>
      </c>
      <c r="C36" s="68" t="s">
        <v>524</v>
      </c>
      <c r="D36" s="85">
        <f>'№4'!F502</f>
        <v>205.9</v>
      </c>
      <c r="E36" s="85">
        <f>'№4'!G502</f>
        <v>0</v>
      </c>
      <c r="F36" s="85">
        <f>'№4'!H502</f>
        <v>0</v>
      </c>
    </row>
    <row r="37" spans="1:6" ht="115.5">
      <c r="A37" s="4" t="s">
        <v>303</v>
      </c>
      <c r="B37" s="4"/>
      <c r="C37" s="21" t="s">
        <v>129</v>
      </c>
      <c r="D37" s="85">
        <f>D38</f>
        <v>176653</v>
      </c>
      <c r="E37" s="85">
        <f aca="true" t="shared" si="14" ref="E37:F37">E38</f>
        <v>176653</v>
      </c>
      <c r="F37" s="85">
        <f t="shared" si="14"/>
        <v>176653</v>
      </c>
    </row>
    <row r="38" spans="1:6" ht="33">
      <c r="A38" s="4" t="s">
        <v>303</v>
      </c>
      <c r="B38" s="84" t="s">
        <v>14</v>
      </c>
      <c r="C38" s="68" t="s">
        <v>524</v>
      </c>
      <c r="D38" s="85">
        <f>'№4'!F503</f>
        <v>176653</v>
      </c>
      <c r="E38" s="85">
        <f>'№4'!G503</f>
        <v>176653</v>
      </c>
      <c r="F38" s="85">
        <f>'№4'!H503</f>
        <v>176653</v>
      </c>
    </row>
    <row r="39" spans="1:6" ht="66">
      <c r="A39" s="4" t="s">
        <v>298</v>
      </c>
      <c r="B39" s="4"/>
      <c r="C39" s="21" t="s">
        <v>118</v>
      </c>
      <c r="D39" s="85">
        <f>D40</f>
        <v>37194.7</v>
      </c>
      <c r="E39" s="85">
        <f aca="true" t="shared" si="15" ref="E39:F39">E40</f>
        <v>38502.6</v>
      </c>
      <c r="F39" s="85">
        <f t="shared" si="15"/>
        <v>38502.6</v>
      </c>
    </row>
    <row r="40" spans="1:6" ht="33">
      <c r="A40" s="4" t="s">
        <v>298</v>
      </c>
      <c r="B40" s="84" t="s">
        <v>14</v>
      </c>
      <c r="C40" s="68" t="s">
        <v>524</v>
      </c>
      <c r="D40" s="85">
        <f>'№4'!F505</f>
        <v>37194.7</v>
      </c>
      <c r="E40" s="85">
        <f>'№4'!G505</f>
        <v>38502.6</v>
      </c>
      <c r="F40" s="85">
        <f>'№4'!H505</f>
        <v>38502.6</v>
      </c>
    </row>
    <row r="41" spans="1:6" ht="49.5">
      <c r="A41" s="84" t="s">
        <v>301</v>
      </c>
      <c r="B41" s="240" t="s">
        <v>93</v>
      </c>
      <c r="C41" s="241" t="s">
        <v>491</v>
      </c>
      <c r="D41" s="85">
        <f>D42</f>
        <v>1004.6</v>
      </c>
      <c r="E41" s="85">
        <f aca="true" t="shared" si="16" ref="E41:F41">E42</f>
        <v>657.2</v>
      </c>
      <c r="F41" s="85">
        <f t="shared" si="16"/>
        <v>0</v>
      </c>
    </row>
    <row r="42" spans="1:6" ht="33">
      <c r="A42" s="84" t="s">
        <v>301</v>
      </c>
      <c r="B42" s="84" t="s">
        <v>14</v>
      </c>
      <c r="C42" s="68" t="s">
        <v>524</v>
      </c>
      <c r="D42" s="85">
        <f>'№4'!F507</f>
        <v>1004.6</v>
      </c>
      <c r="E42" s="85">
        <f>'№4'!G507</f>
        <v>657.2</v>
      </c>
      <c r="F42" s="85">
        <f>'№4'!H507</f>
        <v>0</v>
      </c>
    </row>
    <row r="43" spans="1:6" ht="49.5">
      <c r="A43" s="67" t="s">
        <v>564</v>
      </c>
      <c r="B43" s="67" t="s">
        <v>93</v>
      </c>
      <c r="C43" s="68" t="s">
        <v>565</v>
      </c>
      <c r="D43" s="85">
        <f>D44</f>
        <v>1491</v>
      </c>
      <c r="E43" s="85">
        <f aca="true" t="shared" si="17" ref="E43:F43">E44</f>
        <v>0</v>
      </c>
      <c r="F43" s="85">
        <f t="shared" si="17"/>
        <v>0</v>
      </c>
    </row>
    <row r="44" spans="1:6" ht="33">
      <c r="A44" s="67" t="s">
        <v>564</v>
      </c>
      <c r="B44" s="84" t="s">
        <v>14</v>
      </c>
      <c r="C44" s="68" t="s">
        <v>524</v>
      </c>
      <c r="D44" s="85">
        <f>'№4'!F510</f>
        <v>1491</v>
      </c>
      <c r="E44" s="85">
        <f>'№4'!G510</f>
        <v>0</v>
      </c>
      <c r="F44" s="85">
        <f>'№4'!H510</f>
        <v>0</v>
      </c>
    </row>
    <row r="45" spans="1:6" ht="33">
      <c r="A45" s="67" t="s">
        <v>545</v>
      </c>
      <c r="B45" s="67" t="s">
        <v>93</v>
      </c>
      <c r="C45" s="68" t="s">
        <v>546</v>
      </c>
      <c r="D45" s="85">
        <f>D46</f>
        <v>850.3</v>
      </c>
      <c r="E45" s="85">
        <f aca="true" t="shared" si="18" ref="E45:F45">E46</f>
        <v>0</v>
      </c>
      <c r="F45" s="85">
        <f t="shared" si="18"/>
        <v>0</v>
      </c>
    </row>
    <row r="46" spans="1:6" ht="33">
      <c r="A46" s="67" t="s">
        <v>545</v>
      </c>
      <c r="B46" s="84" t="s">
        <v>14</v>
      </c>
      <c r="C46" s="68" t="s">
        <v>524</v>
      </c>
      <c r="D46" s="85">
        <f>'№4'!F512</f>
        <v>850.3</v>
      </c>
      <c r="E46" s="85">
        <f>'№4'!G512</f>
        <v>0</v>
      </c>
      <c r="F46" s="85">
        <f>'№4'!H512</f>
        <v>0</v>
      </c>
    </row>
    <row r="47" spans="1:6" ht="49.5">
      <c r="A47" s="84" t="s">
        <v>302</v>
      </c>
      <c r="B47" s="240" t="s">
        <v>93</v>
      </c>
      <c r="C47" s="241" t="s">
        <v>123</v>
      </c>
      <c r="D47" s="85">
        <f>D48</f>
        <v>4414</v>
      </c>
      <c r="E47" s="85">
        <f aca="true" t="shared" si="19" ref="E47:F47">E48</f>
        <v>5313.1</v>
      </c>
      <c r="F47" s="85">
        <f t="shared" si="19"/>
        <v>5313.1</v>
      </c>
    </row>
    <row r="48" spans="1:6" ht="33">
      <c r="A48" s="84" t="s">
        <v>302</v>
      </c>
      <c r="B48" s="84" t="s">
        <v>14</v>
      </c>
      <c r="C48" s="68" t="s">
        <v>524</v>
      </c>
      <c r="D48" s="85">
        <f>'№4'!F513</f>
        <v>4414</v>
      </c>
      <c r="E48" s="85">
        <f>'№4'!G513</f>
        <v>5313.1</v>
      </c>
      <c r="F48" s="85">
        <f>'№4'!H513</f>
        <v>5313.1</v>
      </c>
    </row>
    <row r="49" spans="1:6" ht="33">
      <c r="A49" s="84" t="s">
        <v>492</v>
      </c>
      <c r="B49" s="240" t="s">
        <v>93</v>
      </c>
      <c r="C49" s="241" t="s">
        <v>195</v>
      </c>
      <c r="D49" s="85">
        <f>D50</f>
        <v>160.9</v>
      </c>
      <c r="E49" s="85">
        <f aca="true" t="shared" si="20" ref="E49:F49">E50</f>
        <v>168.7</v>
      </c>
      <c r="F49" s="85">
        <f t="shared" si="20"/>
        <v>0</v>
      </c>
    </row>
    <row r="50" spans="1:6" ht="33">
      <c r="A50" s="84" t="s">
        <v>492</v>
      </c>
      <c r="B50" s="84" t="s">
        <v>14</v>
      </c>
      <c r="C50" s="68" t="s">
        <v>524</v>
      </c>
      <c r="D50" s="85">
        <f>'№4'!F554</f>
        <v>160.9</v>
      </c>
      <c r="E50" s="85">
        <f>'№4'!G554</f>
        <v>168.7</v>
      </c>
      <c r="F50" s="85">
        <f>'№4'!H554</f>
        <v>0</v>
      </c>
    </row>
    <row r="51" spans="1:6" ht="66">
      <c r="A51" s="67" t="s">
        <v>513</v>
      </c>
      <c r="B51" s="67" t="s">
        <v>93</v>
      </c>
      <c r="C51" s="68" t="s">
        <v>512</v>
      </c>
      <c r="D51" s="85">
        <f>D52</f>
        <v>1651.6999999999998</v>
      </c>
      <c r="E51" s="85">
        <f aca="true" t="shared" si="21" ref="E51:F51">E52</f>
        <v>0</v>
      </c>
      <c r="F51" s="85">
        <f t="shared" si="21"/>
        <v>0</v>
      </c>
    </row>
    <row r="52" spans="1:6" ht="33">
      <c r="A52" s="67" t="s">
        <v>513</v>
      </c>
      <c r="B52" s="84" t="s">
        <v>14</v>
      </c>
      <c r="C52" s="68" t="s">
        <v>524</v>
      </c>
      <c r="D52" s="85">
        <f>'№4'!F516</f>
        <v>1651.6999999999998</v>
      </c>
      <c r="E52" s="85">
        <f>'№4'!G516</f>
        <v>0</v>
      </c>
      <c r="F52" s="85">
        <f>'№4'!H516</f>
        <v>0</v>
      </c>
    </row>
    <row r="53" spans="1:6" ht="49.5">
      <c r="A53" s="67" t="s">
        <v>549</v>
      </c>
      <c r="B53" s="67" t="s">
        <v>93</v>
      </c>
      <c r="C53" s="68" t="s">
        <v>550</v>
      </c>
      <c r="D53" s="85">
        <f>D54</f>
        <v>2.1</v>
      </c>
      <c r="E53" s="85">
        <f aca="true" t="shared" si="22" ref="E53:F53">E54</f>
        <v>0</v>
      </c>
      <c r="F53" s="85">
        <f t="shared" si="22"/>
        <v>0</v>
      </c>
    </row>
    <row r="54" spans="1:6" ht="33">
      <c r="A54" s="67" t="s">
        <v>549</v>
      </c>
      <c r="B54" s="84" t="s">
        <v>14</v>
      </c>
      <c r="C54" s="68" t="s">
        <v>524</v>
      </c>
      <c r="D54" s="85">
        <f>'№4'!F518</f>
        <v>2.1</v>
      </c>
      <c r="E54" s="85">
        <f>'№4'!G518</f>
        <v>0</v>
      </c>
      <c r="F54" s="85">
        <f>'№4'!H518</f>
        <v>0</v>
      </c>
    </row>
    <row r="55" spans="1:6" ht="66">
      <c r="A55" s="4" t="s">
        <v>621</v>
      </c>
      <c r="B55" s="4"/>
      <c r="C55" s="21" t="s">
        <v>622</v>
      </c>
      <c r="D55" s="85">
        <f>D56</f>
        <v>300</v>
      </c>
      <c r="E55" s="85">
        <f aca="true" t="shared" si="23" ref="E55:F55">E56</f>
        <v>0</v>
      </c>
      <c r="F55" s="85">
        <f t="shared" si="23"/>
        <v>0</v>
      </c>
    </row>
    <row r="56" spans="1:6" ht="33">
      <c r="A56" s="4" t="s">
        <v>621</v>
      </c>
      <c r="B56" s="84" t="s">
        <v>14</v>
      </c>
      <c r="C56" s="68" t="s">
        <v>524</v>
      </c>
      <c r="D56" s="85">
        <f>'№4'!F531</f>
        <v>300</v>
      </c>
      <c r="E56" s="85">
        <f>'№4'!G531</f>
        <v>0</v>
      </c>
      <c r="F56" s="85">
        <f>'№4'!H531</f>
        <v>0</v>
      </c>
    </row>
    <row r="57" spans="1:6" ht="66">
      <c r="A57" s="67" t="s">
        <v>632</v>
      </c>
      <c r="B57" s="84"/>
      <c r="C57" s="5" t="s">
        <v>639</v>
      </c>
      <c r="D57" s="85">
        <f>D58</f>
        <v>2760.1</v>
      </c>
      <c r="E57" s="85">
        <f aca="true" t="shared" si="24" ref="E57:F57">E58</f>
        <v>0</v>
      </c>
      <c r="F57" s="85">
        <f t="shared" si="24"/>
        <v>0</v>
      </c>
    </row>
    <row r="58" spans="1:6" ht="33">
      <c r="A58" s="67" t="s">
        <v>632</v>
      </c>
      <c r="B58" s="84" t="s">
        <v>14</v>
      </c>
      <c r="C58" s="68" t="s">
        <v>524</v>
      </c>
      <c r="D58" s="85">
        <f>'№4'!F533</f>
        <v>2760.1</v>
      </c>
      <c r="E58" s="85">
        <f>'№4'!G533</f>
        <v>0</v>
      </c>
      <c r="F58" s="85">
        <f>'№4'!H533</f>
        <v>0</v>
      </c>
    </row>
    <row r="59" spans="1:6" ht="49.5">
      <c r="A59" s="4" t="s">
        <v>299</v>
      </c>
      <c r="B59" s="4"/>
      <c r="C59" s="21" t="s">
        <v>119</v>
      </c>
      <c r="D59" s="85">
        <f>D60</f>
        <v>3709.7999999999997</v>
      </c>
      <c r="E59" s="85">
        <f aca="true" t="shared" si="25" ref="E59:F59">E60</f>
        <v>3705.1</v>
      </c>
      <c r="F59" s="85">
        <f t="shared" si="25"/>
        <v>3705.1</v>
      </c>
    </row>
    <row r="60" spans="1:6" ht="33">
      <c r="A60" s="4" t="s">
        <v>299</v>
      </c>
      <c r="B60" s="84" t="s">
        <v>14</v>
      </c>
      <c r="C60" s="68" t="s">
        <v>524</v>
      </c>
      <c r="D60" s="85">
        <f>'№4'!F520</f>
        <v>3709.7999999999997</v>
      </c>
      <c r="E60" s="85">
        <f>'№4'!G520</f>
        <v>3705.1</v>
      </c>
      <c r="F60" s="85">
        <f>'№4'!H520</f>
        <v>3705.1</v>
      </c>
    </row>
    <row r="61" spans="1:6" ht="49.5">
      <c r="A61" s="4" t="s">
        <v>300</v>
      </c>
      <c r="B61" s="4"/>
      <c r="C61" s="21" t="s">
        <v>120</v>
      </c>
      <c r="D61" s="85">
        <f>D62</f>
        <v>8144.9</v>
      </c>
      <c r="E61" s="85">
        <f aca="true" t="shared" si="26" ref="E61:F61">E62</f>
        <v>8282.4</v>
      </c>
      <c r="F61" s="85">
        <f t="shared" si="26"/>
        <v>8282.4</v>
      </c>
    </row>
    <row r="62" spans="1:6" ht="33">
      <c r="A62" s="4" t="s">
        <v>300</v>
      </c>
      <c r="B62" s="84" t="s">
        <v>14</v>
      </c>
      <c r="C62" s="68" t="s">
        <v>524</v>
      </c>
      <c r="D62" s="85">
        <f>'№4'!F534</f>
        <v>8144.9</v>
      </c>
      <c r="E62" s="85">
        <f>'№4'!G534</f>
        <v>8282.4</v>
      </c>
      <c r="F62" s="85">
        <f>'№4'!H534</f>
        <v>8282.4</v>
      </c>
    </row>
    <row r="63" spans="1:6" ht="49.5">
      <c r="A63" s="4" t="s">
        <v>712</v>
      </c>
      <c r="B63" s="180"/>
      <c r="C63" s="5" t="s">
        <v>713</v>
      </c>
      <c r="D63" s="85">
        <f>D64</f>
        <v>448</v>
      </c>
      <c r="E63" s="85">
        <f aca="true" t="shared" si="27" ref="E63:F63">E64</f>
        <v>0</v>
      </c>
      <c r="F63" s="85">
        <f t="shared" si="27"/>
        <v>0</v>
      </c>
    </row>
    <row r="64" spans="1:6" ht="33">
      <c r="A64" s="4" t="s">
        <v>712</v>
      </c>
      <c r="B64" s="84" t="s">
        <v>14</v>
      </c>
      <c r="C64" s="68" t="s">
        <v>524</v>
      </c>
      <c r="D64" s="85">
        <f>'№5'!E289</f>
        <v>448</v>
      </c>
      <c r="E64" s="85">
        <f>'№5'!F289</f>
        <v>0</v>
      </c>
      <c r="F64" s="85">
        <f>'№5'!G289</f>
        <v>0</v>
      </c>
    </row>
    <row r="65" spans="1:6" ht="66">
      <c r="A65" s="4" t="s">
        <v>547</v>
      </c>
      <c r="B65" s="4"/>
      <c r="C65" s="21" t="s">
        <v>548</v>
      </c>
      <c r="D65" s="85">
        <f>D66</f>
        <v>33.4</v>
      </c>
      <c r="E65" s="85">
        <f aca="true" t="shared" si="28" ref="E65:F65">E66</f>
        <v>0</v>
      </c>
      <c r="F65" s="85">
        <f t="shared" si="28"/>
        <v>0</v>
      </c>
    </row>
    <row r="66" spans="1:6" ht="33">
      <c r="A66" s="4" t="s">
        <v>547</v>
      </c>
      <c r="B66" s="84" t="s">
        <v>14</v>
      </c>
      <c r="C66" s="68" t="s">
        <v>524</v>
      </c>
      <c r="D66" s="85">
        <f>'№4'!F539</f>
        <v>33.4</v>
      </c>
      <c r="E66" s="85">
        <f>'№4'!G539</f>
        <v>0</v>
      </c>
      <c r="F66" s="85">
        <f>'№4'!H539</f>
        <v>0</v>
      </c>
    </row>
    <row r="67" spans="1:6" ht="66">
      <c r="A67" s="4" t="s">
        <v>631</v>
      </c>
      <c r="B67" s="84"/>
      <c r="C67" s="5" t="s">
        <v>649</v>
      </c>
      <c r="D67" s="85">
        <f>D68</f>
        <v>142.2</v>
      </c>
      <c r="E67" s="85">
        <f aca="true" t="shared" si="29" ref="E67:F67">E68</f>
        <v>0</v>
      </c>
      <c r="F67" s="85">
        <f t="shared" si="29"/>
        <v>0</v>
      </c>
    </row>
    <row r="68" spans="1:6" ht="33">
      <c r="A68" s="4" t="s">
        <v>631</v>
      </c>
      <c r="B68" s="84" t="s">
        <v>14</v>
      </c>
      <c r="C68" s="68" t="s">
        <v>524</v>
      </c>
      <c r="D68" s="85">
        <f>'№4'!F541</f>
        <v>142.2</v>
      </c>
      <c r="E68" s="85">
        <f>'№4'!G541</f>
        <v>0</v>
      </c>
      <c r="F68" s="85">
        <f>'№4'!H541</f>
        <v>0</v>
      </c>
    </row>
    <row r="69" spans="1:6" ht="73.15" customHeight="1">
      <c r="A69" s="237" t="s">
        <v>282</v>
      </c>
      <c r="B69" s="237" t="s">
        <v>93</v>
      </c>
      <c r="C69" s="238" t="s">
        <v>469</v>
      </c>
      <c r="D69" s="239">
        <f>D70+D72+D74+D76+D78+D82+D84+D86+D80</f>
        <v>5618.1</v>
      </c>
      <c r="E69" s="239">
        <f aca="true" t="shared" si="30" ref="E69:F69">E70+E72+E74+E76+E78+E82+E84+E86+E80</f>
        <v>5340.5</v>
      </c>
      <c r="F69" s="239">
        <f t="shared" si="30"/>
        <v>5353.599999999999</v>
      </c>
    </row>
    <row r="70" spans="1:6" ht="33">
      <c r="A70" s="4" t="s">
        <v>285</v>
      </c>
      <c r="B70" s="4"/>
      <c r="C70" s="21" t="s">
        <v>136</v>
      </c>
      <c r="D70" s="85">
        <f>D71</f>
        <v>4962.5</v>
      </c>
      <c r="E70" s="85">
        <f aca="true" t="shared" si="31" ref="E70:F70">E71</f>
        <v>4953.1</v>
      </c>
      <c r="F70" s="85">
        <f t="shared" si="31"/>
        <v>4953.1</v>
      </c>
    </row>
    <row r="71" spans="1:6" ht="49.5">
      <c r="A71" s="4" t="s">
        <v>285</v>
      </c>
      <c r="B71" s="84" t="s">
        <v>7</v>
      </c>
      <c r="C71" s="241" t="s">
        <v>11</v>
      </c>
      <c r="D71" s="85">
        <f>'№4'!F417</f>
        <v>4962.5</v>
      </c>
      <c r="E71" s="85">
        <f>'№4'!G417</f>
        <v>4953.1</v>
      </c>
      <c r="F71" s="85">
        <f>'№4'!H417</f>
        <v>4953.1</v>
      </c>
    </row>
    <row r="72" spans="1:6" ht="33">
      <c r="A72" s="84" t="s">
        <v>283</v>
      </c>
      <c r="B72" s="240" t="s">
        <v>93</v>
      </c>
      <c r="C72" s="241" t="s">
        <v>134</v>
      </c>
      <c r="D72" s="85">
        <f>D73</f>
        <v>19</v>
      </c>
      <c r="E72" s="85">
        <f aca="true" t="shared" si="32" ref="E72:F72">E73</f>
        <v>21.9</v>
      </c>
      <c r="F72" s="85">
        <f t="shared" si="32"/>
        <v>23.9</v>
      </c>
    </row>
    <row r="73" spans="1:6" ht="49.5">
      <c r="A73" s="84" t="s">
        <v>283</v>
      </c>
      <c r="B73" s="84" t="s">
        <v>7</v>
      </c>
      <c r="C73" s="241" t="s">
        <v>11</v>
      </c>
      <c r="D73" s="85">
        <f>'№4'!F419</f>
        <v>19</v>
      </c>
      <c r="E73" s="85">
        <f>'№4'!G419</f>
        <v>21.9</v>
      </c>
      <c r="F73" s="85">
        <f>'№4'!H419</f>
        <v>23.9</v>
      </c>
    </row>
    <row r="74" spans="1:6" ht="39.75" customHeight="1">
      <c r="A74" s="84" t="s">
        <v>286</v>
      </c>
      <c r="B74" s="240" t="s">
        <v>93</v>
      </c>
      <c r="C74" s="241" t="s">
        <v>472</v>
      </c>
      <c r="D74" s="85">
        <f>D75</f>
        <v>256.6</v>
      </c>
      <c r="E74" s="85">
        <f aca="true" t="shared" si="33" ref="E74:F74">E75</f>
        <v>176.4</v>
      </c>
      <c r="F74" s="85">
        <f t="shared" si="33"/>
        <v>182.4</v>
      </c>
    </row>
    <row r="75" spans="1:6" ht="49.5">
      <c r="A75" s="84" t="s">
        <v>286</v>
      </c>
      <c r="B75" s="84" t="s">
        <v>7</v>
      </c>
      <c r="C75" s="241" t="s">
        <v>11</v>
      </c>
      <c r="D75" s="85">
        <f>'№4'!F385</f>
        <v>256.6</v>
      </c>
      <c r="E75" s="85">
        <f>'№4'!G385</f>
        <v>176.4</v>
      </c>
      <c r="F75" s="85">
        <f>'№4'!H385</f>
        <v>182.4</v>
      </c>
    </row>
    <row r="76" spans="1:6" ht="33">
      <c r="A76" s="84" t="s">
        <v>284</v>
      </c>
      <c r="B76" s="240" t="s">
        <v>93</v>
      </c>
      <c r="C76" s="241" t="s">
        <v>135</v>
      </c>
      <c r="D76" s="85">
        <f>D77</f>
        <v>13.5</v>
      </c>
      <c r="E76" s="85">
        <f>E77</f>
        <v>14</v>
      </c>
      <c r="F76" s="85">
        <f aca="true" t="shared" si="34" ref="F76">F77</f>
        <v>14.5</v>
      </c>
    </row>
    <row r="77" spans="1:6" ht="49.5">
      <c r="A77" s="84" t="s">
        <v>284</v>
      </c>
      <c r="B77" s="84" t="s">
        <v>7</v>
      </c>
      <c r="C77" s="241" t="s">
        <v>11</v>
      </c>
      <c r="D77" s="85">
        <f>'№4'!F421</f>
        <v>13.5</v>
      </c>
      <c r="E77" s="85">
        <f>'№4'!G421</f>
        <v>14</v>
      </c>
      <c r="F77" s="85">
        <f>'№4'!H421</f>
        <v>14.5</v>
      </c>
    </row>
    <row r="78" spans="1:6" ht="33">
      <c r="A78" s="84" t="s">
        <v>287</v>
      </c>
      <c r="B78" s="240" t="s">
        <v>93</v>
      </c>
      <c r="C78" s="241" t="s">
        <v>137</v>
      </c>
      <c r="D78" s="85">
        <f>D79</f>
        <v>47.6</v>
      </c>
      <c r="E78" s="85">
        <f aca="true" t="shared" si="35" ref="E78:F78">E79</f>
        <v>49.3</v>
      </c>
      <c r="F78" s="85">
        <f t="shared" si="35"/>
        <v>51</v>
      </c>
    </row>
    <row r="79" spans="1:6" ht="49.5">
      <c r="A79" s="84" t="s">
        <v>287</v>
      </c>
      <c r="B79" s="84" t="s">
        <v>7</v>
      </c>
      <c r="C79" s="241" t="s">
        <v>11</v>
      </c>
      <c r="D79" s="85">
        <f>'№4'!F423</f>
        <v>47.6</v>
      </c>
      <c r="E79" s="85">
        <f>'№4'!G423</f>
        <v>49.3</v>
      </c>
      <c r="F79" s="85">
        <f>'№4'!H423</f>
        <v>51</v>
      </c>
    </row>
    <row r="80" spans="1:6" ht="33">
      <c r="A80" s="4" t="s">
        <v>679</v>
      </c>
      <c r="B80" s="4"/>
      <c r="C80" s="21" t="s">
        <v>680</v>
      </c>
      <c r="D80" s="85">
        <f>D81</f>
        <v>196</v>
      </c>
      <c r="E80" s="85">
        <f aca="true" t="shared" si="36" ref="E80:F80">E81</f>
        <v>0</v>
      </c>
      <c r="F80" s="85">
        <f t="shared" si="36"/>
        <v>0</v>
      </c>
    </row>
    <row r="81" spans="1:6" ht="49.5">
      <c r="A81" s="4" t="s">
        <v>679</v>
      </c>
      <c r="B81" s="84" t="s">
        <v>7</v>
      </c>
      <c r="C81" s="241" t="s">
        <v>11</v>
      </c>
      <c r="D81" s="85">
        <f>'№4'!F426</f>
        <v>196</v>
      </c>
      <c r="E81" s="85">
        <f>'№4'!G426</f>
        <v>0</v>
      </c>
      <c r="F81" s="85">
        <f>'№4'!H426</f>
        <v>0</v>
      </c>
    </row>
    <row r="82" spans="1:6" ht="33">
      <c r="A82" s="84" t="s">
        <v>313</v>
      </c>
      <c r="B82" s="240" t="s">
        <v>93</v>
      </c>
      <c r="C82" s="241" t="s">
        <v>199</v>
      </c>
      <c r="D82" s="85">
        <f>D83</f>
        <v>21.7</v>
      </c>
      <c r="E82" s="85">
        <f aca="true" t="shared" si="37" ref="E82:F82">E83</f>
        <v>22.3</v>
      </c>
      <c r="F82" s="85">
        <f t="shared" si="37"/>
        <v>22.9</v>
      </c>
    </row>
    <row r="83" spans="1:6" ht="49.5">
      <c r="A83" s="84" t="s">
        <v>313</v>
      </c>
      <c r="B83" s="84" t="s">
        <v>7</v>
      </c>
      <c r="C83" s="241" t="s">
        <v>11</v>
      </c>
      <c r="D83" s="85">
        <f>'№4'!F427</f>
        <v>21.7</v>
      </c>
      <c r="E83" s="85">
        <f>'№4'!G427</f>
        <v>22.3</v>
      </c>
      <c r="F83" s="85">
        <f>'№4'!H427</f>
        <v>22.9</v>
      </c>
    </row>
    <row r="84" spans="1:6" ht="33">
      <c r="A84" s="84" t="s">
        <v>473</v>
      </c>
      <c r="B84" s="240" t="s">
        <v>93</v>
      </c>
      <c r="C84" s="241" t="s">
        <v>474</v>
      </c>
      <c r="D84" s="85">
        <f>D85</f>
        <v>36</v>
      </c>
      <c r="E84" s="85">
        <f aca="true" t="shared" si="38" ref="E84:F84">E85</f>
        <v>36</v>
      </c>
      <c r="F84" s="85">
        <f t="shared" si="38"/>
        <v>36</v>
      </c>
    </row>
    <row r="85" spans="1:6" ht="49.5">
      <c r="A85" s="84" t="s">
        <v>473</v>
      </c>
      <c r="B85" s="84" t="s">
        <v>7</v>
      </c>
      <c r="C85" s="241" t="s">
        <v>11</v>
      </c>
      <c r="D85" s="85">
        <f>'№4'!F429</f>
        <v>36</v>
      </c>
      <c r="E85" s="85">
        <f>'№4'!G429</f>
        <v>36</v>
      </c>
      <c r="F85" s="85">
        <f>'№4'!H429</f>
        <v>36</v>
      </c>
    </row>
    <row r="86" spans="1:6" ht="66">
      <c r="A86" s="84" t="s">
        <v>477</v>
      </c>
      <c r="B86" s="240" t="s">
        <v>93</v>
      </c>
      <c r="C86" s="241" t="s">
        <v>138</v>
      </c>
      <c r="D86" s="85">
        <f>D87</f>
        <v>65.2</v>
      </c>
      <c r="E86" s="85">
        <f aca="true" t="shared" si="39" ref="E86:F86">E87</f>
        <v>67.5</v>
      </c>
      <c r="F86" s="85">
        <f t="shared" si="39"/>
        <v>69.8</v>
      </c>
    </row>
    <row r="87" spans="1:6" ht="49.5">
      <c r="A87" s="84" t="s">
        <v>477</v>
      </c>
      <c r="B87" s="84" t="s">
        <v>7</v>
      </c>
      <c r="C87" s="241" t="s">
        <v>11</v>
      </c>
      <c r="D87" s="85">
        <f>'№4'!F432</f>
        <v>65.2</v>
      </c>
      <c r="E87" s="85">
        <f>'№4'!G432</f>
        <v>67.5</v>
      </c>
      <c r="F87" s="85">
        <f>'№4'!H432</f>
        <v>69.8</v>
      </c>
    </row>
    <row r="88" spans="1:6" ht="103.15" customHeight="1">
      <c r="A88" s="237" t="s">
        <v>400</v>
      </c>
      <c r="B88" s="237" t="s">
        <v>93</v>
      </c>
      <c r="C88" s="238" t="s">
        <v>401</v>
      </c>
      <c r="D88" s="239">
        <f>D89</f>
        <v>807.0999999999999</v>
      </c>
      <c r="E88" s="239">
        <f aca="true" t="shared" si="40" ref="E88:F89">E89</f>
        <v>0</v>
      </c>
      <c r="F88" s="239">
        <f t="shared" si="40"/>
        <v>0</v>
      </c>
    </row>
    <row r="89" spans="1:6" ht="99">
      <c r="A89" s="84" t="s">
        <v>403</v>
      </c>
      <c r="B89" s="240" t="s">
        <v>93</v>
      </c>
      <c r="C89" s="241" t="s">
        <v>404</v>
      </c>
      <c r="D89" s="85">
        <f>D90</f>
        <v>807.0999999999999</v>
      </c>
      <c r="E89" s="85">
        <f t="shared" si="40"/>
        <v>0</v>
      </c>
      <c r="F89" s="85">
        <f t="shared" si="40"/>
        <v>0</v>
      </c>
    </row>
    <row r="90" spans="1:6" ht="33">
      <c r="A90" s="84" t="s">
        <v>403</v>
      </c>
      <c r="B90" s="84" t="s">
        <v>25</v>
      </c>
      <c r="C90" s="241" t="s">
        <v>112</v>
      </c>
      <c r="D90" s="85">
        <f>'№4'!F212</f>
        <v>807.0999999999999</v>
      </c>
      <c r="E90" s="85">
        <f>'№4'!G212</f>
        <v>0</v>
      </c>
      <c r="F90" s="85">
        <f>'№4'!H212</f>
        <v>0</v>
      </c>
    </row>
    <row r="91" spans="1:6" ht="12.75">
      <c r="A91" s="237" t="s">
        <v>304</v>
      </c>
      <c r="B91" s="237" t="s">
        <v>93</v>
      </c>
      <c r="C91" s="238" t="s">
        <v>2</v>
      </c>
      <c r="D91" s="239">
        <f>D92+D94+D96</f>
        <v>14004.699999999997</v>
      </c>
      <c r="E91" s="239">
        <f aca="true" t="shared" si="41" ref="E91:F91">E92+E94+E96</f>
        <v>13928.199999999999</v>
      </c>
      <c r="F91" s="239">
        <f t="shared" si="41"/>
        <v>13928.199999999999</v>
      </c>
    </row>
    <row r="92" spans="1:6" ht="49.5">
      <c r="A92" s="84" t="s">
        <v>306</v>
      </c>
      <c r="B92" s="240" t="s">
        <v>93</v>
      </c>
      <c r="C92" s="241" t="s">
        <v>124</v>
      </c>
      <c r="D92" s="85">
        <f>D93</f>
        <v>8499.899999999998</v>
      </c>
      <c r="E92" s="85">
        <f aca="true" t="shared" si="42" ref="E92:F92">E93</f>
        <v>8749.4</v>
      </c>
      <c r="F92" s="85">
        <f t="shared" si="42"/>
        <v>8749.4</v>
      </c>
    </row>
    <row r="93" spans="1:6" ht="33">
      <c r="A93" s="84" t="s">
        <v>306</v>
      </c>
      <c r="B93" s="84" t="s">
        <v>14</v>
      </c>
      <c r="C93" s="68" t="s">
        <v>524</v>
      </c>
      <c r="D93" s="85">
        <f>'№4'!F560</f>
        <v>8499.899999999998</v>
      </c>
      <c r="E93" s="85">
        <f>'№4'!G560</f>
        <v>8749.4</v>
      </c>
      <c r="F93" s="85">
        <f>'№4'!H560</f>
        <v>8749.4</v>
      </c>
    </row>
    <row r="94" spans="1:6" ht="50.25" customHeight="1">
      <c r="A94" s="84" t="s">
        <v>307</v>
      </c>
      <c r="B94" s="240" t="s">
        <v>93</v>
      </c>
      <c r="C94" s="241" t="s">
        <v>125</v>
      </c>
      <c r="D94" s="85">
        <f>D95</f>
        <v>3522.9</v>
      </c>
      <c r="E94" s="85">
        <f aca="true" t="shared" si="43" ref="E94:F94">E95</f>
        <v>3348.9</v>
      </c>
      <c r="F94" s="85">
        <f t="shared" si="43"/>
        <v>3348.9</v>
      </c>
    </row>
    <row r="95" spans="1:6" ht="33">
      <c r="A95" s="84" t="s">
        <v>307</v>
      </c>
      <c r="B95" s="84" t="s">
        <v>14</v>
      </c>
      <c r="C95" s="68" t="s">
        <v>524</v>
      </c>
      <c r="D95" s="85">
        <f>'№4'!F565</f>
        <v>3522.9</v>
      </c>
      <c r="E95" s="85">
        <f>'№4'!G565</f>
        <v>3348.9</v>
      </c>
      <c r="F95" s="85">
        <f>'№4'!H565</f>
        <v>3348.9</v>
      </c>
    </row>
    <row r="96" spans="1:6" ht="82.5">
      <c r="A96" s="84" t="s">
        <v>305</v>
      </c>
      <c r="B96" s="240" t="s">
        <v>93</v>
      </c>
      <c r="C96" s="241" t="s">
        <v>343</v>
      </c>
      <c r="D96" s="85">
        <f>D97</f>
        <v>1981.9</v>
      </c>
      <c r="E96" s="85">
        <f aca="true" t="shared" si="44" ref="E96:F96">E97</f>
        <v>1829.9</v>
      </c>
      <c r="F96" s="85">
        <f t="shared" si="44"/>
        <v>1829.9</v>
      </c>
    </row>
    <row r="97" spans="1:6" ht="33">
      <c r="A97" s="84" t="s">
        <v>305</v>
      </c>
      <c r="B97" s="84" t="s">
        <v>14</v>
      </c>
      <c r="C97" s="68" t="s">
        <v>524</v>
      </c>
      <c r="D97" s="85">
        <f>'№4'!F569</f>
        <v>1981.9</v>
      </c>
      <c r="E97" s="85">
        <f>'№4'!G569</f>
        <v>1829.9</v>
      </c>
      <c r="F97" s="85">
        <f>'№4'!H569</f>
        <v>1829.9</v>
      </c>
    </row>
    <row r="98" spans="1:6" ht="58.15" customHeight="1">
      <c r="A98" s="237" t="s">
        <v>242</v>
      </c>
      <c r="B98" s="237" t="s">
        <v>93</v>
      </c>
      <c r="C98" s="238" t="s">
        <v>405</v>
      </c>
      <c r="D98" s="239">
        <f>D99</f>
        <v>44019.19999999999</v>
      </c>
      <c r="E98" s="239">
        <f aca="true" t="shared" si="45" ref="E98:F98">E99</f>
        <v>37917.5</v>
      </c>
      <c r="F98" s="239">
        <f t="shared" si="45"/>
        <v>37929.59999999999</v>
      </c>
    </row>
    <row r="99" spans="1:6" ht="49.5">
      <c r="A99" s="237" t="s">
        <v>243</v>
      </c>
      <c r="B99" s="237" t="s">
        <v>93</v>
      </c>
      <c r="C99" s="238" t="s">
        <v>151</v>
      </c>
      <c r="D99" s="239">
        <f>D102+D106+D108+D136+D120+D134+D122+D124+D128+D138+D132+D140+D100+D110+D118+D130+D116+D112+D114+D126+D104</f>
        <v>44019.19999999999</v>
      </c>
      <c r="E99" s="239">
        <f aca="true" t="shared" si="46" ref="E99:F99">E102+E106+E108+E136+E120+E134+E122+E124+E128+E138+E132+E140+E100+E110+E118+E130+E116+E112+E114+E126+E104</f>
        <v>37917.5</v>
      </c>
      <c r="F99" s="239">
        <f t="shared" si="46"/>
        <v>37929.59999999999</v>
      </c>
    </row>
    <row r="100" spans="1:6" ht="49.5">
      <c r="A100" s="67" t="s">
        <v>635</v>
      </c>
      <c r="B100" s="237"/>
      <c r="C100" s="68" t="s">
        <v>640</v>
      </c>
      <c r="D100" s="85">
        <f>D101</f>
        <v>1934.1</v>
      </c>
      <c r="E100" s="85">
        <f aca="true" t="shared" si="47" ref="E100:F100">E101</f>
        <v>0</v>
      </c>
      <c r="F100" s="85">
        <f t="shared" si="47"/>
        <v>0</v>
      </c>
    </row>
    <row r="101" spans="1:6" ht="33">
      <c r="A101" s="67" t="s">
        <v>635</v>
      </c>
      <c r="B101" s="84" t="s">
        <v>25</v>
      </c>
      <c r="C101" s="241" t="s">
        <v>112</v>
      </c>
      <c r="D101" s="85">
        <f>'№4'!F219</f>
        <v>1934.1</v>
      </c>
      <c r="E101" s="85">
        <f>'№4'!G219</f>
        <v>0</v>
      </c>
      <c r="F101" s="85">
        <f>'№4'!H219</f>
        <v>0</v>
      </c>
    </row>
    <row r="102" spans="1:6" ht="33">
      <c r="A102" s="84" t="s">
        <v>247</v>
      </c>
      <c r="B102" s="240" t="s">
        <v>93</v>
      </c>
      <c r="C102" s="241" t="s">
        <v>408</v>
      </c>
      <c r="D102" s="85">
        <f>D103</f>
        <v>155.1</v>
      </c>
      <c r="E102" s="85">
        <f aca="true" t="shared" si="48" ref="E102:F102">E103</f>
        <v>160.6</v>
      </c>
      <c r="F102" s="85">
        <f t="shared" si="48"/>
        <v>166.1</v>
      </c>
    </row>
    <row r="103" spans="1:6" ht="33">
      <c r="A103" s="84" t="s">
        <v>247</v>
      </c>
      <c r="B103" s="84" t="s">
        <v>25</v>
      </c>
      <c r="C103" s="241" t="s">
        <v>112</v>
      </c>
      <c r="D103" s="85">
        <f>'№4'!F221</f>
        <v>155.1</v>
      </c>
      <c r="E103" s="85">
        <f>'№4'!G221</f>
        <v>160.6</v>
      </c>
      <c r="F103" s="85">
        <f>'№4'!H221</f>
        <v>166.1</v>
      </c>
    </row>
    <row r="104" spans="1:6" ht="33">
      <c r="A104" s="67" t="s">
        <v>714</v>
      </c>
      <c r="B104" s="67" t="s">
        <v>93</v>
      </c>
      <c r="C104" s="68" t="s">
        <v>715</v>
      </c>
      <c r="D104" s="85">
        <f>D105</f>
        <v>154.1</v>
      </c>
      <c r="E104" s="85">
        <f aca="true" t="shared" si="49" ref="E104:F104">E105</f>
        <v>0</v>
      </c>
      <c r="F104" s="85">
        <f t="shared" si="49"/>
        <v>0</v>
      </c>
    </row>
    <row r="105" spans="1:6" ht="33">
      <c r="A105" s="67" t="s">
        <v>714</v>
      </c>
      <c r="B105" s="84" t="s">
        <v>25</v>
      </c>
      <c r="C105" s="241" t="s">
        <v>112</v>
      </c>
      <c r="D105" s="85">
        <f>'№4'!F224</f>
        <v>154.1</v>
      </c>
      <c r="E105" s="85">
        <f>'№4'!G224</f>
        <v>0</v>
      </c>
      <c r="F105" s="85">
        <f>'№4'!H224</f>
        <v>0</v>
      </c>
    </row>
    <row r="106" spans="1:6" ht="49.5">
      <c r="A106" s="84" t="s">
        <v>310</v>
      </c>
      <c r="B106" s="240" t="s">
        <v>93</v>
      </c>
      <c r="C106" s="241" t="s">
        <v>152</v>
      </c>
      <c r="D106" s="85">
        <f>D107</f>
        <v>85.30000000000001</v>
      </c>
      <c r="E106" s="85">
        <f aca="true" t="shared" si="50" ref="E106:F106">E107</f>
        <v>160.7</v>
      </c>
      <c r="F106" s="85">
        <f t="shared" si="50"/>
        <v>166.2</v>
      </c>
    </row>
    <row r="107" spans="1:6" ht="33">
      <c r="A107" s="84" t="s">
        <v>310</v>
      </c>
      <c r="B107" s="84" t="s">
        <v>25</v>
      </c>
      <c r="C107" s="241" t="s">
        <v>112</v>
      </c>
      <c r="D107" s="85">
        <f>'№4'!F225</f>
        <v>85.30000000000001</v>
      </c>
      <c r="E107" s="85">
        <f>'№4'!G225</f>
        <v>160.7</v>
      </c>
      <c r="F107" s="85">
        <f>'№4'!H225</f>
        <v>166.2</v>
      </c>
    </row>
    <row r="108" spans="1:6" ht="22.5" customHeight="1">
      <c r="A108" s="84" t="s">
        <v>248</v>
      </c>
      <c r="B108" s="240" t="s">
        <v>93</v>
      </c>
      <c r="C108" s="241" t="s">
        <v>409</v>
      </c>
      <c r="D108" s="85">
        <f>D109</f>
        <v>8768.099999999999</v>
      </c>
      <c r="E108" s="85">
        <f aca="true" t="shared" si="51" ref="E108:F108">E109</f>
        <v>8787.4</v>
      </c>
      <c r="F108" s="85">
        <f t="shared" si="51"/>
        <v>8787.4</v>
      </c>
    </row>
    <row r="109" spans="1:6" ht="33">
      <c r="A109" s="84" t="s">
        <v>248</v>
      </c>
      <c r="B109" s="84" t="s">
        <v>25</v>
      </c>
      <c r="C109" s="241" t="s">
        <v>112</v>
      </c>
      <c r="D109" s="85">
        <f>'№4'!F227</f>
        <v>8768.099999999999</v>
      </c>
      <c r="E109" s="85">
        <f>'№4'!G227</f>
        <v>8787.4</v>
      </c>
      <c r="F109" s="85">
        <f>'№4'!H227</f>
        <v>8787.4</v>
      </c>
    </row>
    <row r="110" spans="1:6" ht="49.5">
      <c r="A110" s="67" t="s">
        <v>636</v>
      </c>
      <c r="B110" s="84"/>
      <c r="C110" s="68" t="s">
        <v>650</v>
      </c>
      <c r="D110" s="85">
        <f>D111</f>
        <v>19.3</v>
      </c>
      <c r="E110" s="85">
        <f aca="true" t="shared" si="52" ref="E110:F110">E111</f>
        <v>0</v>
      </c>
      <c r="F110" s="85">
        <f t="shared" si="52"/>
        <v>0</v>
      </c>
    </row>
    <row r="111" spans="1:6" ht="33">
      <c r="A111" s="67" t="s">
        <v>636</v>
      </c>
      <c r="B111" s="84" t="s">
        <v>25</v>
      </c>
      <c r="C111" s="241" t="s">
        <v>112</v>
      </c>
      <c r="D111" s="85">
        <f>'№4'!F231</f>
        <v>19.3</v>
      </c>
      <c r="E111" s="85">
        <f>'№4'!G231</f>
        <v>0</v>
      </c>
      <c r="F111" s="85">
        <f>'№4'!H231</f>
        <v>0</v>
      </c>
    </row>
    <row r="112" spans="1:6" ht="53.25" customHeight="1">
      <c r="A112" s="67" t="s">
        <v>645</v>
      </c>
      <c r="B112" s="67" t="s">
        <v>93</v>
      </c>
      <c r="C112" s="68" t="s">
        <v>647</v>
      </c>
      <c r="D112" s="85">
        <f>D113</f>
        <v>70</v>
      </c>
      <c r="E112" s="85">
        <f aca="true" t="shared" si="53" ref="E112:F112">E113</f>
        <v>0</v>
      </c>
      <c r="F112" s="85">
        <f t="shared" si="53"/>
        <v>0</v>
      </c>
    </row>
    <row r="113" spans="1:6" ht="33">
      <c r="A113" s="67" t="s">
        <v>645</v>
      </c>
      <c r="B113" s="84" t="s">
        <v>25</v>
      </c>
      <c r="C113" s="241" t="s">
        <v>112</v>
      </c>
      <c r="D113" s="85">
        <f>'№4'!F234</f>
        <v>70</v>
      </c>
      <c r="E113" s="85">
        <f>'№4'!G234</f>
        <v>0</v>
      </c>
      <c r="F113" s="85">
        <f>'№4'!H234</f>
        <v>0</v>
      </c>
    </row>
    <row r="114" spans="1:6" ht="66">
      <c r="A114" s="67" t="s">
        <v>646</v>
      </c>
      <c r="B114" s="67" t="s">
        <v>93</v>
      </c>
      <c r="C114" s="68" t="s">
        <v>648</v>
      </c>
      <c r="D114" s="85">
        <f>D115</f>
        <v>30</v>
      </c>
      <c r="E114" s="85">
        <f aca="true" t="shared" si="54" ref="E114:F114">E115</f>
        <v>0</v>
      </c>
      <c r="F114" s="85">
        <f t="shared" si="54"/>
        <v>0</v>
      </c>
    </row>
    <row r="115" spans="1:6" ht="33">
      <c r="A115" s="67" t="s">
        <v>646</v>
      </c>
      <c r="B115" s="84" t="s">
        <v>25</v>
      </c>
      <c r="C115" s="241" t="s">
        <v>112</v>
      </c>
      <c r="D115" s="85">
        <f>'№4'!F236</f>
        <v>30</v>
      </c>
      <c r="E115" s="85">
        <f>'№4'!G236</f>
        <v>0</v>
      </c>
      <c r="F115" s="85">
        <f>'№4'!H236</f>
        <v>0</v>
      </c>
    </row>
    <row r="116" spans="1:6" ht="66">
      <c r="A116" s="4" t="s">
        <v>643</v>
      </c>
      <c r="B116" s="237"/>
      <c r="C116" s="21" t="s">
        <v>644</v>
      </c>
      <c r="D116" s="85">
        <f>D117</f>
        <v>99</v>
      </c>
      <c r="E116" s="85">
        <f aca="true" t="shared" si="55" ref="E116:F116">E117</f>
        <v>0</v>
      </c>
      <c r="F116" s="85">
        <f t="shared" si="55"/>
        <v>0</v>
      </c>
    </row>
    <row r="117" spans="1:6" ht="33">
      <c r="A117" s="4" t="s">
        <v>643</v>
      </c>
      <c r="B117" s="84" t="s">
        <v>25</v>
      </c>
      <c r="C117" s="241" t="s">
        <v>112</v>
      </c>
      <c r="D117" s="85">
        <f>'№4'!F239</f>
        <v>99</v>
      </c>
      <c r="E117" s="85">
        <f>'№4'!G239</f>
        <v>0</v>
      </c>
      <c r="F117" s="85">
        <f>'№4'!H239</f>
        <v>0</v>
      </c>
    </row>
    <row r="118" spans="1:6" ht="49.5">
      <c r="A118" s="4" t="s">
        <v>637</v>
      </c>
      <c r="B118" s="84"/>
      <c r="C118" s="68" t="s">
        <v>640</v>
      </c>
      <c r="D118" s="85">
        <f>D119</f>
        <v>1469.2</v>
      </c>
      <c r="E118" s="85">
        <f aca="true" t="shared" si="56" ref="E118:F118">E119</f>
        <v>0</v>
      </c>
      <c r="F118" s="85">
        <f t="shared" si="56"/>
        <v>0</v>
      </c>
    </row>
    <row r="119" spans="1:6" ht="33">
      <c r="A119" s="4" t="s">
        <v>637</v>
      </c>
      <c r="B119" s="84" t="s">
        <v>25</v>
      </c>
      <c r="C119" s="241" t="s">
        <v>112</v>
      </c>
      <c r="D119" s="85">
        <f>'№4'!F240</f>
        <v>1469.2</v>
      </c>
      <c r="E119" s="85">
        <f>'№4'!G240</f>
        <v>0</v>
      </c>
      <c r="F119" s="85">
        <f>'№4'!H240</f>
        <v>0</v>
      </c>
    </row>
    <row r="120" spans="1:6" ht="33">
      <c r="A120" s="4" t="s">
        <v>245</v>
      </c>
      <c r="B120" s="4"/>
      <c r="C120" s="21" t="s">
        <v>153</v>
      </c>
      <c r="D120" s="85">
        <f>D121</f>
        <v>13320.099999999999</v>
      </c>
      <c r="E120" s="85">
        <f aca="true" t="shared" si="57" ref="E120:F120">E121</f>
        <v>13331.3</v>
      </c>
      <c r="F120" s="85">
        <f t="shared" si="57"/>
        <v>13331.3</v>
      </c>
    </row>
    <row r="121" spans="1:6" ht="33">
      <c r="A121" s="4" t="s">
        <v>245</v>
      </c>
      <c r="B121" s="84" t="s">
        <v>25</v>
      </c>
      <c r="C121" s="241" t="s">
        <v>112</v>
      </c>
      <c r="D121" s="85">
        <f>'№4'!F242</f>
        <v>13320.099999999999</v>
      </c>
      <c r="E121" s="85">
        <f>'№4'!G242</f>
        <v>13331.3</v>
      </c>
      <c r="F121" s="85">
        <f>'№4'!H242</f>
        <v>13331.3</v>
      </c>
    </row>
    <row r="122" spans="1:6" ht="66">
      <c r="A122" s="4" t="s">
        <v>566</v>
      </c>
      <c r="B122" s="180"/>
      <c r="C122" s="21" t="s">
        <v>567</v>
      </c>
      <c r="D122" s="85">
        <f>D123</f>
        <v>527</v>
      </c>
      <c r="E122" s="85">
        <f aca="true" t="shared" si="58" ref="E122:F122">E123</f>
        <v>0</v>
      </c>
      <c r="F122" s="85">
        <f t="shared" si="58"/>
        <v>0</v>
      </c>
    </row>
    <row r="123" spans="1:6" ht="33">
      <c r="A123" s="4" t="s">
        <v>566</v>
      </c>
      <c r="B123" s="84" t="s">
        <v>25</v>
      </c>
      <c r="C123" s="241" t="s">
        <v>112</v>
      </c>
      <c r="D123" s="85">
        <f>'№4'!F245</f>
        <v>527</v>
      </c>
      <c r="E123" s="85">
        <f>'№4'!G245</f>
        <v>0</v>
      </c>
      <c r="F123" s="85">
        <f>'№4'!H245</f>
        <v>0</v>
      </c>
    </row>
    <row r="124" spans="1:6" ht="33">
      <c r="A124" s="4" t="s">
        <v>568</v>
      </c>
      <c r="B124" s="180"/>
      <c r="C124" s="21" t="s">
        <v>569</v>
      </c>
      <c r="D124" s="85">
        <f>D125</f>
        <v>32</v>
      </c>
      <c r="E124" s="85">
        <f aca="true" t="shared" si="59" ref="E124:F124">E125</f>
        <v>0</v>
      </c>
      <c r="F124" s="85">
        <f t="shared" si="59"/>
        <v>0</v>
      </c>
    </row>
    <row r="125" spans="1:6" ht="33">
      <c r="A125" s="4" t="s">
        <v>568</v>
      </c>
      <c r="B125" s="84" t="s">
        <v>25</v>
      </c>
      <c r="C125" s="241" t="s">
        <v>112</v>
      </c>
      <c r="D125" s="85">
        <f>'№4'!F247</f>
        <v>32</v>
      </c>
      <c r="E125" s="85">
        <f>'№4'!G247</f>
        <v>0</v>
      </c>
      <c r="F125" s="85">
        <f>'№4'!H247</f>
        <v>0</v>
      </c>
    </row>
    <row r="126" spans="1:6" ht="66">
      <c r="A126" s="4" t="s">
        <v>686</v>
      </c>
      <c r="B126" s="180"/>
      <c r="C126" s="21" t="s">
        <v>687</v>
      </c>
      <c r="D126" s="85">
        <f>D127</f>
        <v>252.3</v>
      </c>
      <c r="E126" s="85">
        <f aca="true" t="shared" si="60" ref="E126:F126">E127</f>
        <v>0</v>
      </c>
      <c r="F126" s="85">
        <f t="shared" si="60"/>
        <v>0</v>
      </c>
    </row>
    <row r="127" spans="1:6" ht="33">
      <c r="A127" s="4" t="s">
        <v>686</v>
      </c>
      <c r="B127" s="84" t="s">
        <v>25</v>
      </c>
      <c r="C127" s="241" t="s">
        <v>112</v>
      </c>
      <c r="D127" s="85">
        <f>'№4'!F249</f>
        <v>252.3</v>
      </c>
      <c r="E127" s="85">
        <f>'№4'!G249</f>
        <v>0</v>
      </c>
      <c r="F127" s="85">
        <f>'№4'!H249</f>
        <v>0</v>
      </c>
    </row>
    <row r="128" spans="1:6" ht="33">
      <c r="A128" s="4" t="s">
        <v>570</v>
      </c>
      <c r="B128" s="180"/>
      <c r="C128" s="21" t="s">
        <v>571</v>
      </c>
      <c r="D128" s="85">
        <f>D129</f>
        <v>1</v>
      </c>
      <c r="E128" s="85">
        <f aca="true" t="shared" si="61" ref="E128:F128">E129</f>
        <v>0</v>
      </c>
      <c r="F128" s="85">
        <f t="shared" si="61"/>
        <v>0</v>
      </c>
    </row>
    <row r="129" spans="1:6" ht="33">
      <c r="A129" s="4" t="s">
        <v>570</v>
      </c>
      <c r="B129" s="84" t="s">
        <v>25</v>
      </c>
      <c r="C129" s="241" t="s">
        <v>112</v>
      </c>
      <c r="D129" s="85">
        <f>'№4'!F251</f>
        <v>1</v>
      </c>
      <c r="E129" s="85">
        <f>'№4'!G251</f>
        <v>0</v>
      </c>
      <c r="F129" s="85">
        <f>'№4'!H251</f>
        <v>0</v>
      </c>
    </row>
    <row r="130" spans="1:6" ht="49.5">
      <c r="A130" s="4" t="s">
        <v>638</v>
      </c>
      <c r="B130" s="84"/>
      <c r="C130" s="68" t="s">
        <v>650</v>
      </c>
      <c r="D130" s="85">
        <f>D131</f>
        <v>14.7</v>
      </c>
      <c r="E130" s="85">
        <f aca="true" t="shared" si="62" ref="E130:F130">E131</f>
        <v>0</v>
      </c>
      <c r="F130" s="85">
        <f t="shared" si="62"/>
        <v>0</v>
      </c>
    </row>
    <row r="131" spans="1:6" ht="33">
      <c r="A131" s="4" t="s">
        <v>638</v>
      </c>
      <c r="B131" s="84" t="s">
        <v>25</v>
      </c>
      <c r="C131" s="241" t="s">
        <v>112</v>
      </c>
      <c r="D131" s="85">
        <f>'№4'!F252</f>
        <v>14.7</v>
      </c>
      <c r="E131" s="85">
        <f>'№4'!G252</f>
        <v>0</v>
      </c>
      <c r="F131" s="85">
        <f>'№4'!H252</f>
        <v>0</v>
      </c>
    </row>
    <row r="132" spans="1:6" ht="66">
      <c r="A132" s="67" t="s">
        <v>634</v>
      </c>
      <c r="B132" s="84"/>
      <c r="C132" s="5" t="s">
        <v>639</v>
      </c>
      <c r="D132" s="85">
        <f>D133</f>
        <v>1554.4</v>
      </c>
      <c r="E132" s="85">
        <f aca="true" t="shared" si="63" ref="E132:F132">E133</f>
        <v>0</v>
      </c>
      <c r="F132" s="85">
        <f t="shared" si="63"/>
        <v>0</v>
      </c>
    </row>
    <row r="133" spans="1:6" ht="33">
      <c r="A133" s="67" t="s">
        <v>634</v>
      </c>
      <c r="B133" s="84" t="s">
        <v>25</v>
      </c>
      <c r="C133" s="241" t="s">
        <v>112</v>
      </c>
      <c r="D133" s="85">
        <f>'№4'!F200</f>
        <v>1554.4</v>
      </c>
      <c r="E133" s="85">
        <f>'№4'!G200</f>
        <v>0</v>
      </c>
      <c r="F133" s="85">
        <f>'№4'!H200</f>
        <v>0</v>
      </c>
    </row>
    <row r="134" spans="1:6" ht="33">
      <c r="A134" s="4" t="s">
        <v>244</v>
      </c>
      <c r="B134" s="4"/>
      <c r="C134" s="21" t="s">
        <v>179</v>
      </c>
      <c r="D134" s="85">
        <f>D135</f>
        <v>15330.899999999998</v>
      </c>
      <c r="E134" s="85">
        <f aca="true" t="shared" si="64" ref="E134:F134">E135</f>
        <v>15444.3</v>
      </c>
      <c r="F134" s="85">
        <f t="shared" si="64"/>
        <v>15444.3</v>
      </c>
    </row>
    <row r="135" spans="1:6" ht="33">
      <c r="A135" s="4" t="s">
        <v>244</v>
      </c>
      <c r="B135" s="84" t="s">
        <v>25</v>
      </c>
      <c r="C135" s="241" t="s">
        <v>112</v>
      </c>
      <c r="D135" s="85">
        <f>'№4'!F202</f>
        <v>15330.899999999998</v>
      </c>
      <c r="E135" s="85">
        <f>'№4'!G202</f>
        <v>15444.3</v>
      </c>
      <c r="F135" s="85">
        <f>'№4'!H202</f>
        <v>15444.3</v>
      </c>
    </row>
    <row r="136" spans="1:6" ht="67.9" customHeight="1">
      <c r="A136" s="84" t="s">
        <v>246</v>
      </c>
      <c r="B136" s="240" t="s">
        <v>93</v>
      </c>
      <c r="C136" s="241" t="s">
        <v>412</v>
      </c>
      <c r="D136" s="85">
        <f>D137</f>
        <v>32.1</v>
      </c>
      <c r="E136" s="85">
        <f aca="true" t="shared" si="65" ref="E136:F136">E137</f>
        <v>33.2</v>
      </c>
      <c r="F136" s="85">
        <f t="shared" si="65"/>
        <v>34.3</v>
      </c>
    </row>
    <row r="137" spans="1:6" ht="33">
      <c r="A137" s="84" t="s">
        <v>246</v>
      </c>
      <c r="B137" s="84" t="s">
        <v>25</v>
      </c>
      <c r="C137" s="241" t="s">
        <v>112</v>
      </c>
      <c r="D137" s="85">
        <f>'№4'!F255</f>
        <v>32.1</v>
      </c>
      <c r="E137" s="85">
        <f>'№4'!G255</f>
        <v>33.2</v>
      </c>
      <c r="F137" s="85">
        <f>'№4'!H255</f>
        <v>34.3</v>
      </c>
    </row>
    <row r="138" spans="1:6" ht="33">
      <c r="A138" s="67" t="s">
        <v>678</v>
      </c>
      <c r="B138" s="67" t="s">
        <v>93</v>
      </c>
      <c r="C138" s="68" t="s">
        <v>572</v>
      </c>
      <c r="D138" s="85">
        <f>D139</f>
        <v>41.8</v>
      </c>
      <c r="E138" s="85">
        <f aca="true" t="shared" si="66" ref="E138:F138">E139</f>
        <v>0</v>
      </c>
      <c r="F138" s="85">
        <f t="shared" si="66"/>
        <v>0</v>
      </c>
    </row>
    <row r="139" spans="1:6" ht="33">
      <c r="A139" s="67" t="s">
        <v>678</v>
      </c>
      <c r="B139" s="84" t="s">
        <v>25</v>
      </c>
      <c r="C139" s="241" t="s">
        <v>112</v>
      </c>
      <c r="D139" s="85">
        <f>'№4'!F205</f>
        <v>41.8</v>
      </c>
      <c r="E139" s="85">
        <f>'№4'!G205</f>
        <v>0</v>
      </c>
      <c r="F139" s="85">
        <f>'№4'!H205</f>
        <v>0</v>
      </c>
    </row>
    <row r="140" spans="1:6" ht="66">
      <c r="A140" s="67" t="s">
        <v>683</v>
      </c>
      <c r="B140" s="84"/>
      <c r="C140" s="5" t="s">
        <v>649</v>
      </c>
      <c r="D140" s="85">
        <f>D141</f>
        <v>128.7</v>
      </c>
      <c r="E140" s="85">
        <f aca="true" t="shared" si="67" ref="E140:F140">E141</f>
        <v>0</v>
      </c>
      <c r="F140" s="85">
        <f t="shared" si="67"/>
        <v>0</v>
      </c>
    </row>
    <row r="141" spans="1:6" ht="33">
      <c r="A141" s="67" t="s">
        <v>683</v>
      </c>
      <c r="B141" s="84" t="s">
        <v>25</v>
      </c>
      <c r="C141" s="241" t="s">
        <v>112</v>
      </c>
      <c r="D141" s="85">
        <f>'№4'!F206</f>
        <v>128.7</v>
      </c>
      <c r="E141" s="85">
        <f>'№4'!G206</f>
        <v>0</v>
      </c>
      <c r="F141" s="85">
        <f>'№4'!H206</f>
        <v>0</v>
      </c>
    </row>
    <row r="142" spans="1:6" ht="70.15" customHeight="1">
      <c r="A142" s="237" t="s">
        <v>276</v>
      </c>
      <c r="B142" s="237" t="s">
        <v>93</v>
      </c>
      <c r="C142" s="238" t="s">
        <v>464</v>
      </c>
      <c r="D142" s="239">
        <f>D143+D168</f>
        <v>31483.7</v>
      </c>
      <c r="E142" s="239">
        <f>E143+E168</f>
        <v>26510.6</v>
      </c>
      <c r="F142" s="239">
        <f>F143+F168</f>
        <v>26061.2</v>
      </c>
    </row>
    <row r="143" spans="1:6" ht="33">
      <c r="A143" s="237" t="s">
        <v>277</v>
      </c>
      <c r="B143" s="237" t="s">
        <v>93</v>
      </c>
      <c r="C143" s="238" t="s">
        <v>139</v>
      </c>
      <c r="D143" s="239">
        <f>D146+D148+D156+D158+D166+D144+D154+D160+D164+D150+D162+D152</f>
        <v>29073.5</v>
      </c>
      <c r="E143" s="239">
        <f aca="true" t="shared" si="68" ref="E143:F143">E146+E148+E156+E158+E166+E144+E154+E160+E164+E150+E162+E152</f>
        <v>24221.1</v>
      </c>
      <c r="F143" s="239">
        <f t="shared" si="68"/>
        <v>23771.7</v>
      </c>
    </row>
    <row r="144" spans="1:6" ht="49.5">
      <c r="A144" s="6" t="s">
        <v>290</v>
      </c>
      <c r="B144" s="180"/>
      <c r="C144" s="5" t="s">
        <v>143</v>
      </c>
      <c r="D144" s="85">
        <f>D145</f>
        <v>9824.9</v>
      </c>
      <c r="E144" s="85">
        <f aca="true" t="shared" si="69" ref="E144:F144">E145</f>
        <v>9799.1</v>
      </c>
      <c r="F144" s="85">
        <f t="shared" si="69"/>
        <v>9799.1</v>
      </c>
    </row>
    <row r="145" spans="1:6" ht="49.5">
      <c r="A145" s="6" t="s">
        <v>290</v>
      </c>
      <c r="B145" s="84" t="s">
        <v>7</v>
      </c>
      <c r="C145" s="241" t="s">
        <v>11</v>
      </c>
      <c r="D145" s="85">
        <f>'№4'!F448</f>
        <v>9824.9</v>
      </c>
      <c r="E145" s="85">
        <f>'№4'!G448</f>
        <v>9799.1</v>
      </c>
      <c r="F145" s="85">
        <f>'№4'!H448</f>
        <v>9799.1</v>
      </c>
    </row>
    <row r="146" spans="1:6" ht="33">
      <c r="A146" s="84" t="s">
        <v>289</v>
      </c>
      <c r="B146" s="240" t="s">
        <v>93</v>
      </c>
      <c r="C146" s="241" t="s">
        <v>142</v>
      </c>
      <c r="D146" s="85">
        <f>D147</f>
        <v>1070.4</v>
      </c>
      <c r="E146" s="85">
        <f aca="true" t="shared" si="70" ref="E146:F146">E147</f>
        <v>1116.6</v>
      </c>
      <c r="F146" s="85">
        <f t="shared" si="70"/>
        <v>1163.2</v>
      </c>
    </row>
    <row r="147" spans="1:6" ht="49.5">
      <c r="A147" s="84" t="s">
        <v>289</v>
      </c>
      <c r="B147" s="84" t="s">
        <v>7</v>
      </c>
      <c r="C147" s="241" t="s">
        <v>11</v>
      </c>
      <c r="D147" s="85">
        <f>'№4'!F450</f>
        <v>1070.4</v>
      </c>
      <c r="E147" s="85">
        <f>'№4'!G450</f>
        <v>1116.6</v>
      </c>
      <c r="F147" s="85">
        <f>'№4'!H450</f>
        <v>1163.2</v>
      </c>
    </row>
    <row r="148" spans="1:6" ht="57" customHeight="1">
      <c r="A148" s="84" t="s">
        <v>291</v>
      </c>
      <c r="B148" s="240" t="s">
        <v>93</v>
      </c>
      <c r="C148" s="241" t="s">
        <v>144</v>
      </c>
      <c r="D148" s="85">
        <f>D149</f>
        <v>251.9</v>
      </c>
      <c r="E148" s="85">
        <f aca="true" t="shared" si="71" ref="E148:F148">E149</f>
        <v>251.9</v>
      </c>
      <c r="F148" s="85">
        <f t="shared" si="71"/>
        <v>251.9</v>
      </c>
    </row>
    <row r="149" spans="1:6" ht="49.5">
      <c r="A149" s="84" t="s">
        <v>291</v>
      </c>
      <c r="B149" s="84" t="s">
        <v>7</v>
      </c>
      <c r="C149" s="241" t="s">
        <v>11</v>
      </c>
      <c r="D149" s="85">
        <f>'№4'!F454</f>
        <v>251.9</v>
      </c>
      <c r="E149" s="85">
        <f>'№4'!G454</f>
        <v>251.9</v>
      </c>
      <c r="F149" s="85">
        <f>'№4'!H454</f>
        <v>251.9</v>
      </c>
    </row>
    <row r="150" spans="1:6" ht="82.5">
      <c r="A150" s="67" t="s">
        <v>619</v>
      </c>
      <c r="B150" s="67" t="s">
        <v>93</v>
      </c>
      <c r="C150" s="68" t="s">
        <v>620</v>
      </c>
      <c r="D150" s="85">
        <f>D151</f>
        <v>300</v>
      </c>
      <c r="E150" s="85">
        <f aca="true" t="shared" si="72" ref="E150:F150">E151</f>
        <v>0</v>
      </c>
      <c r="F150" s="85">
        <f t="shared" si="72"/>
        <v>0</v>
      </c>
    </row>
    <row r="151" spans="1:6" ht="49.5">
      <c r="A151" s="67" t="s">
        <v>619</v>
      </c>
      <c r="B151" s="84" t="s">
        <v>7</v>
      </c>
      <c r="C151" s="241" t="s">
        <v>11</v>
      </c>
      <c r="D151" s="85">
        <f>'№4'!F392</f>
        <v>300</v>
      </c>
      <c r="E151" s="85">
        <f>'№4'!G392</f>
        <v>0</v>
      </c>
      <c r="F151" s="85">
        <f>'№4'!H392</f>
        <v>0</v>
      </c>
    </row>
    <row r="152" spans="1:6" ht="66">
      <c r="A152" s="67" t="s">
        <v>633</v>
      </c>
      <c r="B152" s="84"/>
      <c r="C152" s="5" t="s">
        <v>639</v>
      </c>
      <c r="D152" s="85">
        <f>D153</f>
        <v>1174</v>
      </c>
      <c r="E152" s="85">
        <f aca="true" t="shared" si="73" ref="E152:F152">E153</f>
        <v>0</v>
      </c>
      <c r="F152" s="85">
        <f t="shared" si="73"/>
        <v>0</v>
      </c>
    </row>
    <row r="153" spans="1:6" ht="49.5">
      <c r="A153" s="67" t="s">
        <v>633</v>
      </c>
      <c r="B153" s="84" t="s">
        <v>7</v>
      </c>
      <c r="C153" s="241" t="s">
        <v>11</v>
      </c>
      <c r="D153" s="85">
        <f>'№4'!F393</f>
        <v>1174</v>
      </c>
      <c r="E153" s="85">
        <f>'№4'!G393</f>
        <v>0</v>
      </c>
      <c r="F153" s="85">
        <f>'№4'!H393</f>
        <v>0</v>
      </c>
    </row>
    <row r="154" spans="1:6" ht="66">
      <c r="A154" s="6" t="s">
        <v>278</v>
      </c>
      <c r="B154" s="180"/>
      <c r="C154" s="5" t="s">
        <v>140</v>
      </c>
      <c r="D154" s="85">
        <f>D155</f>
        <v>12457</v>
      </c>
      <c r="E154" s="85">
        <f aca="true" t="shared" si="74" ref="E154:F154">E155</f>
        <v>12517.9</v>
      </c>
      <c r="F154" s="85">
        <f t="shared" si="74"/>
        <v>12517.9</v>
      </c>
    </row>
    <row r="155" spans="1:6" ht="49.5">
      <c r="A155" s="6" t="s">
        <v>278</v>
      </c>
      <c r="B155" s="84" t="s">
        <v>7</v>
      </c>
      <c r="C155" s="241" t="s">
        <v>11</v>
      </c>
      <c r="D155" s="85">
        <f>'№4'!F395</f>
        <v>12457</v>
      </c>
      <c r="E155" s="85">
        <f>'№4'!G395</f>
        <v>12517.9</v>
      </c>
      <c r="F155" s="85">
        <f>'№4'!H395</f>
        <v>12517.9</v>
      </c>
    </row>
    <row r="156" spans="1:6" ht="49.5">
      <c r="A156" s="84" t="s">
        <v>279</v>
      </c>
      <c r="B156" s="240" t="s">
        <v>93</v>
      </c>
      <c r="C156" s="241" t="s">
        <v>198</v>
      </c>
      <c r="D156" s="85">
        <f>D157</f>
        <v>440.7</v>
      </c>
      <c r="E156" s="85">
        <f aca="true" t="shared" si="75" ref="E156:F156">E157</f>
        <v>391.6</v>
      </c>
      <c r="F156" s="85">
        <f t="shared" si="75"/>
        <v>0</v>
      </c>
    </row>
    <row r="157" spans="1:6" ht="49.5">
      <c r="A157" s="84" t="s">
        <v>279</v>
      </c>
      <c r="B157" s="84" t="s">
        <v>7</v>
      </c>
      <c r="C157" s="241" t="s">
        <v>11</v>
      </c>
      <c r="D157" s="85">
        <f>'№4'!F397</f>
        <v>440.7</v>
      </c>
      <c r="E157" s="85">
        <f>'№4'!G397</f>
        <v>391.6</v>
      </c>
      <c r="F157" s="85">
        <f>'№4'!H397</f>
        <v>0</v>
      </c>
    </row>
    <row r="158" spans="1:6" ht="49.5">
      <c r="A158" s="84" t="s">
        <v>467</v>
      </c>
      <c r="B158" s="240" t="s">
        <v>93</v>
      </c>
      <c r="C158" s="241" t="s">
        <v>468</v>
      </c>
      <c r="D158" s="85">
        <f>D159</f>
        <v>178.9</v>
      </c>
      <c r="E158" s="85">
        <f aca="true" t="shared" si="76" ref="E158:F158">E159</f>
        <v>144</v>
      </c>
      <c r="F158" s="85">
        <f t="shared" si="76"/>
        <v>39.6</v>
      </c>
    </row>
    <row r="159" spans="1:6" ht="49.5">
      <c r="A159" s="84" t="s">
        <v>467</v>
      </c>
      <c r="B159" s="84" t="s">
        <v>7</v>
      </c>
      <c r="C159" s="241" t="s">
        <v>11</v>
      </c>
      <c r="D159" s="85">
        <f>'№4'!F399</f>
        <v>178.9</v>
      </c>
      <c r="E159" s="85">
        <f>'№4'!G399</f>
        <v>144</v>
      </c>
      <c r="F159" s="85">
        <f>'№4'!H399</f>
        <v>39.6</v>
      </c>
    </row>
    <row r="160" spans="1:6" ht="68.25" customHeight="1">
      <c r="A160" s="67" t="s">
        <v>516</v>
      </c>
      <c r="B160" s="67" t="s">
        <v>93</v>
      </c>
      <c r="C160" s="68" t="s">
        <v>515</v>
      </c>
      <c r="D160" s="85">
        <f>D161</f>
        <v>33.4</v>
      </c>
      <c r="E160" s="85">
        <f aca="true" t="shared" si="77" ref="E160:F160">E161</f>
        <v>0</v>
      </c>
      <c r="F160" s="85">
        <f t="shared" si="77"/>
        <v>0</v>
      </c>
    </row>
    <row r="161" spans="1:6" ht="49.5">
      <c r="A161" s="67" t="s">
        <v>516</v>
      </c>
      <c r="B161" s="84" t="s">
        <v>7</v>
      </c>
      <c r="C161" s="241" t="s">
        <v>11</v>
      </c>
      <c r="D161" s="85">
        <f>'№4'!F402</f>
        <v>33.4</v>
      </c>
      <c r="E161" s="85">
        <f>'№4'!G402</f>
        <v>0</v>
      </c>
      <c r="F161" s="85">
        <f>'№4'!H402</f>
        <v>0</v>
      </c>
    </row>
    <row r="162" spans="1:6" ht="66">
      <c r="A162" s="67" t="s">
        <v>684</v>
      </c>
      <c r="B162" s="84"/>
      <c r="C162" s="5" t="s">
        <v>649</v>
      </c>
      <c r="D162" s="85">
        <f>D163</f>
        <v>107.8</v>
      </c>
      <c r="E162" s="85">
        <f aca="true" t="shared" si="78" ref="E162:F162">E163</f>
        <v>0</v>
      </c>
      <c r="F162" s="85">
        <f t="shared" si="78"/>
        <v>0</v>
      </c>
    </row>
    <row r="163" spans="1:6" ht="49.5">
      <c r="A163" s="67" t="s">
        <v>684</v>
      </c>
      <c r="B163" s="84" t="s">
        <v>7</v>
      </c>
      <c r="C163" s="241" t="s">
        <v>11</v>
      </c>
      <c r="D163" s="85">
        <f>'№4'!F403</f>
        <v>107.8</v>
      </c>
      <c r="E163" s="85">
        <f>'№4'!G403</f>
        <v>0</v>
      </c>
      <c r="F163" s="85">
        <f>'№4'!H403</f>
        <v>0</v>
      </c>
    </row>
    <row r="164" spans="1:6" ht="82.5">
      <c r="A164" s="67" t="s">
        <v>603</v>
      </c>
      <c r="B164" s="67" t="s">
        <v>93</v>
      </c>
      <c r="C164" s="68" t="s">
        <v>604</v>
      </c>
      <c r="D164" s="85">
        <f>D165</f>
        <v>2467.2</v>
      </c>
      <c r="E164" s="85">
        <f aca="true" t="shared" si="79" ref="E164:F164">E165</f>
        <v>0</v>
      </c>
      <c r="F164" s="85">
        <f t="shared" si="79"/>
        <v>0</v>
      </c>
    </row>
    <row r="165" spans="1:6" ht="49.5">
      <c r="A165" s="67" t="s">
        <v>603</v>
      </c>
      <c r="B165" s="84" t="s">
        <v>7</v>
      </c>
      <c r="C165" s="241" t="s">
        <v>11</v>
      </c>
      <c r="D165" s="85">
        <f>'№4'!F458</f>
        <v>2467.2</v>
      </c>
      <c r="E165" s="85">
        <f>'№4'!G458</f>
        <v>0</v>
      </c>
      <c r="F165" s="85">
        <f>'№4'!H458</f>
        <v>0</v>
      </c>
    </row>
    <row r="166" spans="1:6" ht="82.5">
      <c r="A166" s="67" t="s">
        <v>514</v>
      </c>
      <c r="B166" s="67" t="s">
        <v>93</v>
      </c>
      <c r="C166" s="68" t="s">
        <v>599</v>
      </c>
      <c r="D166" s="85">
        <f>D167</f>
        <v>767.3</v>
      </c>
      <c r="E166" s="85">
        <f aca="true" t="shared" si="80" ref="E166:F166">E167</f>
        <v>0</v>
      </c>
      <c r="F166" s="85">
        <f t="shared" si="80"/>
        <v>0</v>
      </c>
    </row>
    <row r="167" spans="1:6" ht="49.5">
      <c r="A167" s="67" t="s">
        <v>514</v>
      </c>
      <c r="B167" s="84" t="s">
        <v>7</v>
      </c>
      <c r="C167" s="241" t="s">
        <v>11</v>
      </c>
      <c r="D167" s="85">
        <f>'№4'!F460</f>
        <v>767.3</v>
      </c>
      <c r="E167" s="85">
        <f>'№4'!G460</f>
        <v>0</v>
      </c>
      <c r="F167" s="85">
        <f>'№4'!H460</f>
        <v>0</v>
      </c>
    </row>
    <row r="168" spans="1:6" ht="12.75">
      <c r="A168" s="237" t="s">
        <v>292</v>
      </c>
      <c r="B168" s="237" t="s">
        <v>93</v>
      </c>
      <c r="C168" s="238" t="s">
        <v>2</v>
      </c>
      <c r="D168" s="239">
        <f>D169</f>
        <v>2410.2</v>
      </c>
      <c r="E168" s="239">
        <f aca="true" t="shared" si="81" ref="E168:F169">E169</f>
        <v>2289.5</v>
      </c>
      <c r="F168" s="239">
        <f t="shared" si="81"/>
        <v>2289.5</v>
      </c>
    </row>
    <row r="169" spans="1:6" ht="82.5">
      <c r="A169" s="84" t="s">
        <v>293</v>
      </c>
      <c r="B169" s="240" t="s">
        <v>93</v>
      </c>
      <c r="C169" s="241" t="s">
        <v>343</v>
      </c>
      <c r="D169" s="85">
        <f>D170</f>
        <v>2410.2</v>
      </c>
      <c r="E169" s="85">
        <f t="shared" si="81"/>
        <v>2289.5</v>
      </c>
      <c r="F169" s="85">
        <f t="shared" si="81"/>
        <v>2289.5</v>
      </c>
    </row>
    <row r="170" spans="1:6" ht="49.5">
      <c r="A170" s="84" t="s">
        <v>293</v>
      </c>
      <c r="B170" s="84" t="s">
        <v>7</v>
      </c>
      <c r="C170" s="241" t="s">
        <v>11</v>
      </c>
      <c r="D170" s="85">
        <f>'№4'!F465</f>
        <v>2410.2</v>
      </c>
      <c r="E170" s="85">
        <f>'№4'!G465</f>
        <v>2289.5</v>
      </c>
      <c r="F170" s="85">
        <f>'№4'!H465</f>
        <v>2289.5</v>
      </c>
    </row>
    <row r="171" spans="1:6" ht="82.5">
      <c r="A171" s="237" t="s">
        <v>236</v>
      </c>
      <c r="B171" s="237" t="s">
        <v>93</v>
      </c>
      <c r="C171" s="238" t="s">
        <v>456</v>
      </c>
      <c r="D171" s="239">
        <f>D172+D177</f>
        <v>8899.8</v>
      </c>
      <c r="E171" s="239">
        <f aca="true" t="shared" si="82" ref="E171:F171">E172+E177</f>
        <v>8294.4</v>
      </c>
      <c r="F171" s="239">
        <f t="shared" si="82"/>
        <v>7261.3</v>
      </c>
    </row>
    <row r="172" spans="1:6" ht="33">
      <c r="A172" s="237" t="s">
        <v>288</v>
      </c>
      <c r="B172" s="237" t="s">
        <v>93</v>
      </c>
      <c r="C172" s="238" t="s">
        <v>169</v>
      </c>
      <c r="D172" s="239">
        <f>D173+D175</f>
        <v>3546.8</v>
      </c>
      <c r="E172" s="239">
        <f aca="true" t="shared" si="83" ref="E172:F172">E173+E175</f>
        <v>1870.8</v>
      </c>
      <c r="F172" s="239">
        <f t="shared" si="83"/>
        <v>1908.3</v>
      </c>
    </row>
    <row r="173" spans="1:6" ht="37.9" customHeight="1">
      <c r="A173" s="84" t="s">
        <v>480</v>
      </c>
      <c r="B173" s="240" t="s">
        <v>93</v>
      </c>
      <c r="C173" s="241" t="s">
        <v>170</v>
      </c>
      <c r="D173" s="85">
        <f>D174</f>
        <v>1762.7</v>
      </c>
      <c r="E173" s="85">
        <f aca="true" t="shared" si="84" ref="E173:F173">E174</f>
        <v>1870.8</v>
      </c>
      <c r="F173" s="85">
        <f t="shared" si="84"/>
        <v>1908.3</v>
      </c>
    </row>
    <row r="174" spans="1:6" ht="49.5">
      <c r="A174" s="84" t="s">
        <v>480</v>
      </c>
      <c r="B174" s="84" t="s">
        <v>7</v>
      </c>
      <c r="C174" s="241" t="s">
        <v>11</v>
      </c>
      <c r="D174" s="85">
        <f>'№4'!F439</f>
        <v>1762.7</v>
      </c>
      <c r="E174" s="85">
        <f>'№4'!G439</f>
        <v>1870.8</v>
      </c>
      <c r="F174" s="85">
        <f>'№4'!H439</f>
        <v>1908.3</v>
      </c>
    </row>
    <row r="175" spans="1:6" ht="49.5">
      <c r="A175" s="67" t="s">
        <v>589</v>
      </c>
      <c r="B175" s="67" t="s">
        <v>93</v>
      </c>
      <c r="C175" s="68" t="s">
        <v>590</v>
      </c>
      <c r="D175" s="85">
        <f>D176</f>
        <v>1784.1</v>
      </c>
      <c r="E175" s="85">
        <f aca="true" t="shared" si="85" ref="E175:F175">E176</f>
        <v>0</v>
      </c>
      <c r="F175" s="85">
        <f t="shared" si="85"/>
        <v>0</v>
      </c>
    </row>
    <row r="176" spans="1:6" ht="49.5">
      <c r="A176" s="67" t="s">
        <v>589</v>
      </c>
      <c r="B176" s="84" t="s">
        <v>7</v>
      </c>
      <c r="C176" s="241" t="s">
        <v>11</v>
      </c>
      <c r="D176" s="85">
        <f>'№4'!F442</f>
        <v>1784.1</v>
      </c>
      <c r="E176" s="85">
        <f>'№4'!G442</f>
        <v>0</v>
      </c>
      <c r="F176" s="85">
        <f>'№4'!H442</f>
        <v>0</v>
      </c>
    </row>
    <row r="177" spans="1:6" ht="82.5">
      <c r="A177" s="237" t="s">
        <v>272</v>
      </c>
      <c r="B177" s="237" t="s">
        <v>93</v>
      </c>
      <c r="C177" s="238" t="s">
        <v>457</v>
      </c>
      <c r="D177" s="239">
        <f>D178</f>
        <v>5353</v>
      </c>
      <c r="E177" s="239">
        <f aca="true" t="shared" si="86" ref="E177:F177">E178</f>
        <v>6423.599999999999</v>
      </c>
      <c r="F177" s="239">
        <f t="shared" si="86"/>
        <v>5353</v>
      </c>
    </row>
    <row r="178" spans="1:6" ht="82.5">
      <c r="A178" s="84" t="s">
        <v>316</v>
      </c>
      <c r="B178" s="240" t="s">
        <v>93</v>
      </c>
      <c r="C178" s="241" t="s">
        <v>614</v>
      </c>
      <c r="D178" s="85">
        <f>D179</f>
        <v>5353</v>
      </c>
      <c r="E178" s="85">
        <f aca="true" t="shared" si="87" ref="E178:F178">E179</f>
        <v>6423.599999999999</v>
      </c>
      <c r="F178" s="85">
        <f t="shared" si="87"/>
        <v>5353</v>
      </c>
    </row>
    <row r="179" spans="1:6" ht="39.75" customHeight="1">
      <c r="A179" s="84" t="s">
        <v>316</v>
      </c>
      <c r="B179" s="84" t="s">
        <v>58</v>
      </c>
      <c r="C179" s="68" t="s">
        <v>542</v>
      </c>
      <c r="D179" s="85">
        <f>'№4'!F363</f>
        <v>5353</v>
      </c>
      <c r="E179" s="85">
        <f>'№4'!G363</f>
        <v>6423.599999999999</v>
      </c>
      <c r="F179" s="85">
        <f>'№4'!H363</f>
        <v>5353</v>
      </c>
    </row>
    <row r="180" spans="1:6" ht="70.15" customHeight="1">
      <c r="A180" s="237" t="s">
        <v>219</v>
      </c>
      <c r="B180" s="237" t="s">
        <v>93</v>
      </c>
      <c r="C180" s="238" t="s">
        <v>360</v>
      </c>
      <c r="D180" s="239">
        <f>D181+D188</f>
        <v>25204.400000000005</v>
      </c>
      <c r="E180" s="239">
        <f>E181+E188</f>
        <v>23756.6</v>
      </c>
      <c r="F180" s="239">
        <f>F181+F188</f>
        <v>15049.099999999999</v>
      </c>
    </row>
    <row r="181" spans="1:6" ht="49.5">
      <c r="A181" s="237" t="s">
        <v>384</v>
      </c>
      <c r="B181" s="237" t="s">
        <v>93</v>
      </c>
      <c r="C181" s="238" t="s">
        <v>385</v>
      </c>
      <c r="D181" s="239">
        <f>D182+D186+D184</f>
        <v>3521</v>
      </c>
      <c r="E181" s="239">
        <f aca="true" t="shared" si="88" ref="E181:F181">E182+E186+E184</f>
        <v>9000</v>
      </c>
      <c r="F181" s="239">
        <f t="shared" si="88"/>
        <v>0</v>
      </c>
    </row>
    <row r="182" spans="1:6" ht="49.5">
      <c r="A182" s="84" t="s">
        <v>388</v>
      </c>
      <c r="B182" s="240" t="s">
        <v>93</v>
      </c>
      <c r="C182" s="241" t="s">
        <v>389</v>
      </c>
      <c r="D182" s="85">
        <f>D183</f>
        <v>0</v>
      </c>
      <c r="E182" s="85">
        <f aca="true" t="shared" si="89" ref="E182:F182">E183</f>
        <v>9000</v>
      </c>
      <c r="F182" s="85">
        <f t="shared" si="89"/>
        <v>0</v>
      </c>
    </row>
    <row r="183" spans="1:6" ht="33">
      <c r="A183" s="84" t="s">
        <v>388</v>
      </c>
      <c r="B183" s="84" t="s">
        <v>25</v>
      </c>
      <c r="C183" s="241" t="s">
        <v>112</v>
      </c>
      <c r="D183" s="85">
        <f>'№4'!F157</f>
        <v>0</v>
      </c>
      <c r="E183" s="85">
        <f>'№4'!G157</f>
        <v>9000</v>
      </c>
      <c r="F183" s="85">
        <f>'№4'!H157</f>
        <v>0</v>
      </c>
    </row>
    <row r="184" spans="1:6" ht="12.75">
      <c r="A184" s="67" t="s">
        <v>509</v>
      </c>
      <c r="B184" s="67" t="s">
        <v>93</v>
      </c>
      <c r="C184" s="68" t="s">
        <v>510</v>
      </c>
      <c r="D184" s="85">
        <f>D185</f>
        <v>198</v>
      </c>
      <c r="E184" s="85">
        <f aca="true" t="shared" si="90" ref="E184:F184">E185</f>
        <v>0</v>
      </c>
      <c r="F184" s="85">
        <f t="shared" si="90"/>
        <v>0</v>
      </c>
    </row>
    <row r="185" spans="1:6" ht="33">
      <c r="A185" s="67" t="s">
        <v>509</v>
      </c>
      <c r="B185" s="84" t="s">
        <v>25</v>
      </c>
      <c r="C185" s="241" t="s">
        <v>112</v>
      </c>
      <c r="D185" s="85">
        <f>'№4'!F160</f>
        <v>198</v>
      </c>
      <c r="E185" s="85">
        <f>'№4'!G160</f>
        <v>0</v>
      </c>
      <c r="F185" s="85">
        <f>'№4'!H160</f>
        <v>0</v>
      </c>
    </row>
    <row r="186" spans="1:6" ht="12.75">
      <c r="A186" s="84" t="s">
        <v>391</v>
      </c>
      <c r="B186" s="240" t="s">
        <v>93</v>
      </c>
      <c r="C186" s="241" t="s">
        <v>392</v>
      </c>
      <c r="D186" s="85">
        <f>D187</f>
        <v>3323</v>
      </c>
      <c r="E186" s="85">
        <f aca="true" t="shared" si="91" ref="E186:F186">E187</f>
        <v>0</v>
      </c>
      <c r="F186" s="85">
        <f t="shared" si="91"/>
        <v>0</v>
      </c>
    </row>
    <row r="187" spans="1:6" ht="33">
      <c r="A187" s="84" t="s">
        <v>391</v>
      </c>
      <c r="B187" s="84" t="s">
        <v>25</v>
      </c>
      <c r="C187" s="241" t="s">
        <v>112</v>
      </c>
      <c r="D187" s="85">
        <f>'№4'!F161</f>
        <v>3323</v>
      </c>
      <c r="E187" s="85">
        <f>'№4'!G161</f>
        <v>0</v>
      </c>
      <c r="F187" s="85">
        <f>'№4'!H161</f>
        <v>0</v>
      </c>
    </row>
    <row r="188" spans="1:6" ht="54" customHeight="1">
      <c r="A188" s="237" t="s">
        <v>220</v>
      </c>
      <c r="B188" s="237" t="s">
        <v>93</v>
      </c>
      <c r="C188" s="238" t="s">
        <v>171</v>
      </c>
      <c r="D188" s="239">
        <f>D191+D193+D195+D197+D201+D203+D207+D209+D189+D205+D199</f>
        <v>21683.400000000005</v>
      </c>
      <c r="E188" s="239">
        <f aca="true" t="shared" si="92" ref="E188:F188">E191+E193+E195+E197+E201+E203+E207+E209+E189+E205+E199</f>
        <v>14756.599999999999</v>
      </c>
      <c r="F188" s="239">
        <f t="shared" si="92"/>
        <v>15049.099999999999</v>
      </c>
    </row>
    <row r="189" spans="1:6" ht="36" customHeight="1">
      <c r="A189" s="67" t="s">
        <v>533</v>
      </c>
      <c r="B189" s="67" t="s">
        <v>93</v>
      </c>
      <c r="C189" s="68" t="s">
        <v>534</v>
      </c>
      <c r="D189" s="85">
        <f>D190</f>
        <v>677.9</v>
      </c>
      <c r="E189" s="85">
        <f aca="true" t="shared" si="93" ref="E189:F189">E190</f>
        <v>0</v>
      </c>
      <c r="F189" s="85">
        <f t="shared" si="93"/>
        <v>0</v>
      </c>
    </row>
    <row r="190" spans="1:6" ht="37.15" customHeight="1">
      <c r="A190" s="67" t="s">
        <v>533</v>
      </c>
      <c r="B190" s="84" t="s">
        <v>25</v>
      </c>
      <c r="C190" s="241" t="s">
        <v>112</v>
      </c>
      <c r="D190" s="85">
        <f>'№4'!F167</f>
        <v>677.9</v>
      </c>
      <c r="E190" s="85">
        <f>'№4'!G167</f>
        <v>0</v>
      </c>
      <c r="F190" s="85">
        <f>'№4'!H167</f>
        <v>0</v>
      </c>
    </row>
    <row r="191" spans="1:6" ht="12.75">
      <c r="A191" s="84" t="s">
        <v>237</v>
      </c>
      <c r="B191" s="240" t="s">
        <v>93</v>
      </c>
      <c r="C191" s="241" t="s">
        <v>172</v>
      </c>
      <c r="D191" s="85">
        <f>D192</f>
        <v>13545.6</v>
      </c>
      <c r="E191" s="85">
        <f aca="true" t="shared" si="94" ref="E191:F191">E192</f>
        <v>11166</v>
      </c>
      <c r="F191" s="85">
        <f t="shared" si="94"/>
        <v>11250</v>
      </c>
    </row>
    <row r="192" spans="1:6" ht="33">
      <c r="A192" s="84" t="s">
        <v>237</v>
      </c>
      <c r="B192" s="84" t="s">
        <v>25</v>
      </c>
      <c r="C192" s="241" t="s">
        <v>112</v>
      </c>
      <c r="D192" s="85">
        <f>'№4'!F169</f>
        <v>13545.6</v>
      </c>
      <c r="E192" s="85">
        <f>'№4'!G169</f>
        <v>11166</v>
      </c>
      <c r="F192" s="85">
        <f>'№4'!H169</f>
        <v>11250</v>
      </c>
    </row>
    <row r="193" spans="1:6" ht="33">
      <c r="A193" s="84" t="s">
        <v>238</v>
      </c>
      <c r="B193" s="240" t="s">
        <v>93</v>
      </c>
      <c r="C193" s="241" t="s">
        <v>173</v>
      </c>
      <c r="D193" s="85">
        <f>D194</f>
        <v>1087.7</v>
      </c>
      <c r="E193" s="85">
        <f aca="true" t="shared" si="95" ref="E193:F193">E194</f>
        <v>900</v>
      </c>
      <c r="F193" s="85">
        <f t="shared" si="95"/>
        <v>900</v>
      </c>
    </row>
    <row r="194" spans="1:6" ht="33">
      <c r="A194" s="84" t="s">
        <v>238</v>
      </c>
      <c r="B194" s="84" t="s">
        <v>25</v>
      </c>
      <c r="C194" s="241" t="s">
        <v>112</v>
      </c>
      <c r="D194" s="85">
        <f>'№4'!F171</f>
        <v>1087.7</v>
      </c>
      <c r="E194" s="85">
        <f>'№4'!G171</f>
        <v>900</v>
      </c>
      <c r="F194" s="85">
        <f>'№4'!H171</f>
        <v>900</v>
      </c>
    </row>
    <row r="195" spans="1:6" ht="23.25" customHeight="1">
      <c r="A195" s="84" t="s">
        <v>239</v>
      </c>
      <c r="B195" s="240" t="s">
        <v>93</v>
      </c>
      <c r="C195" s="241" t="s">
        <v>174</v>
      </c>
      <c r="D195" s="85">
        <f>D196</f>
        <v>2677.6</v>
      </c>
      <c r="E195" s="85">
        <f aca="true" t="shared" si="96" ref="E195:F195">E196</f>
        <v>1625.1</v>
      </c>
      <c r="F195" s="85">
        <f t="shared" si="96"/>
        <v>1795.4</v>
      </c>
    </row>
    <row r="196" spans="1:6" ht="33">
      <c r="A196" s="84" t="s">
        <v>239</v>
      </c>
      <c r="B196" s="84" t="s">
        <v>25</v>
      </c>
      <c r="C196" s="241" t="s">
        <v>112</v>
      </c>
      <c r="D196" s="85">
        <f>'№4'!F173</f>
        <v>2677.6</v>
      </c>
      <c r="E196" s="85">
        <f>'№4'!G173</f>
        <v>1625.1</v>
      </c>
      <c r="F196" s="85">
        <f>'№4'!H173</f>
        <v>1795.4</v>
      </c>
    </row>
    <row r="197" spans="1:6" ht="33">
      <c r="A197" s="84" t="s">
        <v>240</v>
      </c>
      <c r="B197" s="240" t="s">
        <v>93</v>
      </c>
      <c r="C197" s="241" t="s">
        <v>395</v>
      </c>
      <c r="D197" s="85">
        <f>D198</f>
        <v>145.9</v>
      </c>
      <c r="E197" s="85">
        <f aca="true" t="shared" si="97" ref="E197:F197">E198</f>
        <v>145.9</v>
      </c>
      <c r="F197" s="85">
        <f t="shared" si="97"/>
        <v>145.9</v>
      </c>
    </row>
    <row r="198" spans="1:6" ht="33">
      <c r="A198" s="84" t="s">
        <v>240</v>
      </c>
      <c r="B198" s="84" t="s">
        <v>25</v>
      </c>
      <c r="C198" s="241" t="s">
        <v>112</v>
      </c>
      <c r="D198" s="85">
        <f>'№4'!F175</f>
        <v>145.9</v>
      </c>
      <c r="E198" s="85">
        <f>'№4'!G175</f>
        <v>145.9</v>
      </c>
      <c r="F198" s="85">
        <f>'№4'!H175</f>
        <v>145.9</v>
      </c>
    </row>
    <row r="199" spans="1:6" ht="49.5">
      <c r="A199" s="67" t="s">
        <v>558</v>
      </c>
      <c r="B199" s="67" t="s">
        <v>93</v>
      </c>
      <c r="C199" s="68" t="s">
        <v>559</v>
      </c>
      <c r="D199" s="85">
        <f>D200</f>
        <v>258</v>
      </c>
      <c r="E199" s="85">
        <f aca="true" t="shared" si="98" ref="E199:F199">E200</f>
        <v>0</v>
      </c>
      <c r="F199" s="85">
        <f t="shared" si="98"/>
        <v>0</v>
      </c>
    </row>
    <row r="200" spans="1:6" ht="33">
      <c r="A200" s="67" t="s">
        <v>558</v>
      </c>
      <c r="B200" s="84" t="s">
        <v>25</v>
      </c>
      <c r="C200" s="241" t="s">
        <v>112</v>
      </c>
      <c r="D200" s="85">
        <f>'№4'!F178</f>
        <v>258</v>
      </c>
      <c r="E200" s="85">
        <f>'№4'!G178</f>
        <v>0</v>
      </c>
      <c r="F200" s="85">
        <f>'№4'!H178</f>
        <v>0</v>
      </c>
    </row>
    <row r="201" spans="1:6" ht="49.5">
      <c r="A201" s="84" t="s">
        <v>396</v>
      </c>
      <c r="B201" s="240" t="s">
        <v>93</v>
      </c>
      <c r="C201" s="241" t="s">
        <v>397</v>
      </c>
      <c r="D201" s="85">
        <f>D202</f>
        <v>1133.4000000000005</v>
      </c>
      <c r="E201" s="85">
        <f aca="true" t="shared" si="99" ref="E201:F201">E202</f>
        <v>0</v>
      </c>
      <c r="F201" s="85">
        <f t="shared" si="99"/>
        <v>0</v>
      </c>
    </row>
    <row r="202" spans="1:6" ht="33">
      <c r="A202" s="84" t="s">
        <v>396</v>
      </c>
      <c r="B202" s="84" t="s">
        <v>25</v>
      </c>
      <c r="C202" s="241" t="s">
        <v>112</v>
      </c>
      <c r="D202" s="85">
        <f>'№4'!F179</f>
        <v>1133.4000000000005</v>
      </c>
      <c r="E202" s="85">
        <f>'№4'!G179</f>
        <v>0</v>
      </c>
      <c r="F202" s="85">
        <f>'№4'!H179</f>
        <v>0</v>
      </c>
    </row>
    <row r="203" spans="1:6" ht="33">
      <c r="A203" s="84" t="s">
        <v>309</v>
      </c>
      <c r="B203" s="240" t="s">
        <v>93</v>
      </c>
      <c r="C203" s="241" t="s">
        <v>398</v>
      </c>
      <c r="D203" s="85">
        <f>D204</f>
        <v>0</v>
      </c>
      <c r="E203" s="85">
        <f aca="true" t="shared" si="100" ref="E203:F203">E204</f>
        <v>258</v>
      </c>
      <c r="F203" s="85">
        <f t="shared" si="100"/>
        <v>258</v>
      </c>
    </row>
    <row r="204" spans="1:6" ht="33">
      <c r="A204" s="84" t="s">
        <v>309</v>
      </c>
      <c r="B204" s="84" t="s">
        <v>25</v>
      </c>
      <c r="C204" s="241" t="s">
        <v>112</v>
      </c>
      <c r="D204" s="85">
        <f>'№4'!F181</f>
        <v>0</v>
      </c>
      <c r="E204" s="85">
        <f>'№4'!G181</f>
        <v>258</v>
      </c>
      <c r="F204" s="85">
        <f>'№4'!H181</f>
        <v>258</v>
      </c>
    </row>
    <row r="205" spans="1:6" ht="33">
      <c r="A205" s="67" t="s">
        <v>536</v>
      </c>
      <c r="B205" s="67" t="s">
        <v>93</v>
      </c>
      <c r="C205" s="68" t="s">
        <v>535</v>
      </c>
      <c r="D205" s="85">
        <f>D206</f>
        <v>996.3999999999999</v>
      </c>
      <c r="E205" s="85">
        <f aca="true" t="shared" si="101" ref="E205:F205">E206</f>
        <v>0</v>
      </c>
      <c r="F205" s="85">
        <f t="shared" si="101"/>
        <v>0</v>
      </c>
    </row>
    <row r="206" spans="1:6" ht="33">
      <c r="A206" s="67" t="s">
        <v>536</v>
      </c>
      <c r="B206" s="84" t="s">
        <v>25</v>
      </c>
      <c r="C206" s="241" t="s">
        <v>112</v>
      </c>
      <c r="D206" s="85">
        <f>'№4'!F184</f>
        <v>996.3999999999999</v>
      </c>
      <c r="E206" s="85">
        <f>'№4'!G184</f>
        <v>0</v>
      </c>
      <c r="F206" s="85">
        <f>'№4'!H184</f>
        <v>0</v>
      </c>
    </row>
    <row r="207" spans="1:6" ht="115.5">
      <c r="A207" s="84" t="s">
        <v>221</v>
      </c>
      <c r="B207" s="240" t="s">
        <v>93</v>
      </c>
      <c r="C207" s="241" t="s">
        <v>178</v>
      </c>
      <c r="D207" s="85">
        <f>D208</f>
        <v>395.8</v>
      </c>
      <c r="E207" s="85">
        <f aca="true" t="shared" si="102" ref="E207:F207">E208</f>
        <v>395.8</v>
      </c>
      <c r="F207" s="85">
        <f t="shared" si="102"/>
        <v>395.8</v>
      </c>
    </row>
    <row r="208" spans="1:6" ht="33">
      <c r="A208" s="84" t="s">
        <v>221</v>
      </c>
      <c r="B208" s="84" t="s">
        <v>25</v>
      </c>
      <c r="C208" s="241" t="s">
        <v>112</v>
      </c>
      <c r="D208" s="85">
        <f>'№4'!F98</f>
        <v>395.8</v>
      </c>
      <c r="E208" s="85">
        <f>'№4'!G98</f>
        <v>395.8</v>
      </c>
      <c r="F208" s="85">
        <f>'№4'!H98</f>
        <v>395.8</v>
      </c>
    </row>
    <row r="209" spans="1:6" ht="49.5">
      <c r="A209" s="84" t="s">
        <v>241</v>
      </c>
      <c r="B209" s="240" t="s">
        <v>93</v>
      </c>
      <c r="C209" s="241" t="s">
        <v>175</v>
      </c>
      <c r="D209" s="85">
        <f>D210</f>
        <v>765.0999999999999</v>
      </c>
      <c r="E209" s="85">
        <f aca="true" t="shared" si="103" ref="E209:F209">E210</f>
        <v>265.8</v>
      </c>
      <c r="F209" s="85">
        <f t="shared" si="103"/>
        <v>304</v>
      </c>
    </row>
    <row r="210" spans="1:6" ht="33">
      <c r="A210" s="84" t="s">
        <v>241</v>
      </c>
      <c r="B210" s="84" t="s">
        <v>25</v>
      </c>
      <c r="C210" s="241" t="s">
        <v>112</v>
      </c>
      <c r="D210" s="85">
        <f>'№4'!F186</f>
        <v>765.0999999999999</v>
      </c>
      <c r="E210" s="85">
        <f>'№4'!G186</f>
        <v>265.8</v>
      </c>
      <c r="F210" s="85">
        <f>'№4'!H186</f>
        <v>304</v>
      </c>
    </row>
    <row r="211" spans="1:6" ht="69.6" customHeight="1">
      <c r="A211" s="237" t="s">
        <v>222</v>
      </c>
      <c r="B211" s="237" t="s">
        <v>93</v>
      </c>
      <c r="C211" s="238" t="s">
        <v>363</v>
      </c>
      <c r="D211" s="239">
        <f>D212+D233</f>
        <v>112527.80000000002</v>
      </c>
      <c r="E211" s="239">
        <f>E212+E233</f>
        <v>31128.9</v>
      </c>
      <c r="F211" s="239">
        <f>F212+F233</f>
        <v>20859.3</v>
      </c>
    </row>
    <row r="212" spans="1:6" ht="49.5">
      <c r="A212" s="237" t="s">
        <v>223</v>
      </c>
      <c r="B212" s="237" t="s">
        <v>93</v>
      </c>
      <c r="C212" s="238" t="s">
        <v>511</v>
      </c>
      <c r="D212" s="239">
        <f>D213+D217+D219+D229+D221+D225+D227+D231+D215+D223</f>
        <v>108599.80000000002</v>
      </c>
      <c r="E212" s="239">
        <f aca="true" t="shared" si="104" ref="E212:F212">E213+E217+E219+E229+E221+E225+E227+E231+E215+E223</f>
        <v>27628.9</v>
      </c>
      <c r="F212" s="239">
        <f t="shared" si="104"/>
        <v>20859.3</v>
      </c>
    </row>
    <row r="213" spans="1:6" ht="66">
      <c r="A213" s="84" t="s">
        <v>224</v>
      </c>
      <c r="B213" s="240" t="s">
        <v>93</v>
      </c>
      <c r="C213" s="241" t="s">
        <v>366</v>
      </c>
      <c r="D213" s="85">
        <f>D214</f>
        <v>25181.300000000003</v>
      </c>
      <c r="E213" s="85">
        <f aca="true" t="shared" si="105" ref="E213:F213">E214</f>
        <v>21054.7</v>
      </c>
      <c r="F213" s="85">
        <f t="shared" si="105"/>
        <v>20859.3</v>
      </c>
    </row>
    <row r="214" spans="1:6" ht="33">
      <c r="A214" s="84" t="s">
        <v>224</v>
      </c>
      <c r="B214" s="84" t="s">
        <v>25</v>
      </c>
      <c r="C214" s="241" t="s">
        <v>112</v>
      </c>
      <c r="D214" s="85">
        <f>'№4'!F104</f>
        <v>25181.300000000003</v>
      </c>
      <c r="E214" s="85">
        <f>'№4'!G104</f>
        <v>21054.7</v>
      </c>
      <c r="F214" s="85">
        <f>'№4'!H104</f>
        <v>20859.3</v>
      </c>
    </row>
    <row r="215" spans="1:6" ht="49.5">
      <c r="A215" s="67" t="s">
        <v>593</v>
      </c>
      <c r="B215" s="67" t="s">
        <v>93</v>
      </c>
      <c r="C215" s="68" t="s">
        <v>595</v>
      </c>
      <c r="D215" s="85">
        <f>D216</f>
        <v>21150.1</v>
      </c>
      <c r="E215" s="85">
        <f aca="true" t="shared" si="106" ref="E215:F215">E216</f>
        <v>0</v>
      </c>
      <c r="F215" s="85">
        <f t="shared" si="106"/>
        <v>0</v>
      </c>
    </row>
    <row r="216" spans="1:6" ht="33">
      <c r="A216" s="67" t="s">
        <v>593</v>
      </c>
      <c r="B216" s="84" t="s">
        <v>25</v>
      </c>
      <c r="C216" s="241" t="s">
        <v>112</v>
      </c>
      <c r="D216" s="85">
        <f>'№4'!F107</f>
        <v>21150.1</v>
      </c>
      <c r="E216" s="85">
        <f>'№4'!G107</f>
        <v>0</v>
      </c>
      <c r="F216" s="85">
        <f>'№4'!H107</f>
        <v>0</v>
      </c>
    </row>
    <row r="217" spans="1:6" ht="54" customHeight="1">
      <c r="A217" s="84" t="s">
        <v>225</v>
      </c>
      <c r="B217" s="240" t="s">
        <v>93</v>
      </c>
      <c r="C217" s="241" t="s">
        <v>197</v>
      </c>
      <c r="D217" s="85">
        <f>D218</f>
        <v>6380</v>
      </c>
      <c r="E217" s="85">
        <f aca="true" t="shared" si="107" ref="E217:F217">E218</f>
        <v>2400</v>
      </c>
      <c r="F217" s="85">
        <f t="shared" si="107"/>
        <v>0</v>
      </c>
    </row>
    <row r="218" spans="1:6" ht="33">
      <c r="A218" s="84" t="s">
        <v>225</v>
      </c>
      <c r="B218" s="84" t="s">
        <v>25</v>
      </c>
      <c r="C218" s="241" t="s">
        <v>112</v>
      </c>
      <c r="D218" s="85">
        <f>'№4'!F109</f>
        <v>6380</v>
      </c>
      <c r="E218" s="85">
        <f>'№4'!G109</f>
        <v>2400</v>
      </c>
      <c r="F218" s="85">
        <f>'№4'!H109</f>
        <v>0</v>
      </c>
    </row>
    <row r="219" spans="1:6" ht="49.5">
      <c r="A219" s="84" t="s">
        <v>226</v>
      </c>
      <c r="B219" s="240" t="s">
        <v>93</v>
      </c>
      <c r="C219" s="241" t="s">
        <v>369</v>
      </c>
      <c r="D219" s="85">
        <f>D220</f>
        <v>1018.5</v>
      </c>
      <c r="E219" s="85">
        <f aca="true" t="shared" si="108" ref="E219:F219">E220</f>
        <v>4174.2</v>
      </c>
      <c r="F219" s="85">
        <f t="shared" si="108"/>
        <v>0</v>
      </c>
    </row>
    <row r="220" spans="1:6" ht="33">
      <c r="A220" s="84" t="s">
        <v>226</v>
      </c>
      <c r="B220" s="84" t="s">
        <v>25</v>
      </c>
      <c r="C220" s="241" t="s">
        <v>112</v>
      </c>
      <c r="D220" s="85">
        <f>'№4'!F111</f>
        <v>1018.5</v>
      </c>
      <c r="E220" s="85">
        <f>'№4'!G111</f>
        <v>4174.2</v>
      </c>
      <c r="F220" s="85">
        <f>'№4'!H111</f>
        <v>0</v>
      </c>
    </row>
    <row r="221" spans="1:6" ht="66">
      <c r="A221" s="67" t="s">
        <v>518</v>
      </c>
      <c r="B221" s="67" t="s">
        <v>93</v>
      </c>
      <c r="C221" s="68" t="s">
        <v>517</v>
      </c>
      <c r="D221" s="85">
        <f>D222</f>
        <v>6092.3</v>
      </c>
      <c r="E221" s="85">
        <f aca="true" t="shared" si="109" ref="E221:F221">E222</f>
        <v>0</v>
      </c>
      <c r="F221" s="85">
        <f t="shared" si="109"/>
        <v>0</v>
      </c>
    </row>
    <row r="222" spans="1:6" ht="33">
      <c r="A222" s="67" t="s">
        <v>518</v>
      </c>
      <c r="B222" s="84" t="s">
        <v>25</v>
      </c>
      <c r="C222" s="241" t="s">
        <v>112</v>
      </c>
      <c r="D222" s="85">
        <f>'№4'!F114</f>
        <v>6092.3</v>
      </c>
      <c r="E222" s="85">
        <f>'№4'!G114</f>
        <v>0</v>
      </c>
      <c r="F222" s="85">
        <f>'№4'!H114</f>
        <v>0</v>
      </c>
    </row>
    <row r="223" spans="1:6" ht="70.5" customHeight="1">
      <c r="A223" s="67" t="s">
        <v>592</v>
      </c>
      <c r="B223" s="231"/>
      <c r="C223" s="68" t="s">
        <v>594</v>
      </c>
      <c r="D223" s="85">
        <f>D224</f>
        <v>36095.4</v>
      </c>
      <c r="E223" s="85">
        <f aca="true" t="shared" si="110" ref="E223:F223">E224</f>
        <v>0</v>
      </c>
      <c r="F223" s="85">
        <f t="shared" si="110"/>
        <v>0</v>
      </c>
    </row>
    <row r="224" spans="1:6" ht="33">
      <c r="A224" s="67" t="s">
        <v>592</v>
      </c>
      <c r="B224" s="84" t="s">
        <v>25</v>
      </c>
      <c r="C224" s="241" t="s">
        <v>112</v>
      </c>
      <c r="D224" s="85">
        <f>'№4'!F117</f>
        <v>36095.4</v>
      </c>
      <c r="E224" s="85">
        <f>'№4'!G117</f>
        <v>0</v>
      </c>
      <c r="F224" s="85">
        <f>'№4'!H117</f>
        <v>0</v>
      </c>
    </row>
    <row r="225" spans="1:6" ht="33">
      <c r="A225" s="67" t="s">
        <v>539</v>
      </c>
      <c r="B225" s="231"/>
      <c r="C225" s="68" t="s">
        <v>534</v>
      </c>
      <c r="D225" s="85">
        <f>D226</f>
        <v>800</v>
      </c>
      <c r="E225" s="85">
        <f aca="true" t="shared" si="111" ref="E225:F225">E226</f>
        <v>0</v>
      </c>
      <c r="F225" s="85">
        <f t="shared" si="111"/>
        <v>0</v>
      </c>
    </row>
    <row r="226" spans="1:6" ht="33">
      <c r="A226" s="67" t="s">
        <v>539</v>
      </c>
      <c r="B226" s="84" t="s">
        <v>25</v>
      </c>
      <c r="C226" s="241" t="s">
        <v>112</v>
      </c>
      <c r="D226" s="85">
        <f>'№4'!F119</f>
        <v>800</v>
      </c>
      <c r="E226" s="85">
        <f>'№4'!G119</f>
        <v>0</v>
      </c>
      <c r="F226" s="85">
        <f>'№4'!H119</f>
        <v>0</v>
      </c>
    </row>
    <row r="227" spans="1:6" ht="33">
      <c r="A227" s="67" t="s">
        <v>538</v>
      </c>
      <c r="B227" s="231"/>
      <c r="C227" s="68" t="s">
        <v>535</v>
      </c>
      <c r="D227" s="85">
        <f>D228</f>
        <v>1172.1</v>
      </c>
      <c r="E227" s="85">
        <f aca="true" t="shared" si="112" ref="E227:F227">E228</f>
        <v>0</v>
      </c>
      <c r="F227" s="85">
        <f t="shared" si="112"/>
        <v>0</v>
      </c>
    </row>
    <row r="228" spans="1:6" ht="33">
      <c r="A228" s="67" t="s">
        <v>538</v>
      </c>
      <c r="B228" s="84" t="s">
        <v>25</v>
      </c>
      <c r="C228" s="241" t="s">
        <v>112</v>
      </c>
      <c r="D228" s="85">
        <f>'№4'!F121</f>
        <v>1172.1</v>
      </c>
      <c r="E228" s="85">
        <f>'№4'!G121</f>
        <v>0</v>
      </c>
      <c r="F228" s="85">
        <f>'№4'!H121</f>
        <v>0</v>
      </c>
    </row>
    <row r="229" spans="1:6" ht="87.75" customHeight="1">
      <c r="A229" s="67" t="s">
        <v>519</v>
      </c>
      <c r="B229" s="67" t="s">
        <v>93</v>
      </c>
      <c r="C229" s="68" t="s">
        <v>521</v>
      </c>
      <c r="D229" s="85">
        <f>D230</f>
        <v>10632.8</v>
      </c>
      <c r="E229" s="85">
        <f aca="true" t="shared" si="113" ref="E229:F229">E230</f>
        <v>0</v>
      </c>
      <c r="F229" s="85">
        <f t="shared" si="113"/>
        <v>0</v>
      </c>
    </row>
    <row r="230" spans="1:6" ht="33">
      <c r="A230" s="67" t="s">
        <v>519</v>
      </c>
      <c r="B230" s="84" t="s">
        <v>25</v>
      </c>
      <c r="C230" s="241" t="s">
        <v>112</v>
      </c>
      <c r="D230" s="85">
        <f>'№4'!F122</f>
        <v>10632.8</v>
      </c>
      <c r="E230" s="85">
        <f>'№4'!G122</f>
        <v>0</v>
      </c>
      <c r="F230" s="85">
        <f>'№4'!H122</f>
        <v>0</v>
      </c>
    </row>
    <row r="231" spans="1:6" ht="49.5">
      <c r="A231" s="6" t="s">
        <v>555</v>
      </c>
      <c r="B231" s="180"/>
      <c r="C231" s="5" t="s">
        <v>556</v>
      </c>
      <c r="D231" s="85">
        <f>D232</f>
        <v>77.3</v>
      </c>
      <c r="E231" s="85">
        <f aca="true" t="shared" si="114" ref="E231:F231">E232</f>
        <v>0</v>
      </c>
      <c r="F231" s="85">
        <f t="shared" si="114"/>
        <v>0</v>
      </c>
    </row>
    <row r="232" spans="1:6" ht="33">
      <c r="A232" s="6" t="s">
        <v>555</v>
      </c>
      <c r="B232" s="84" t="s">
        <v>25</v>
      </c>
      <c r="C232" s="241" t="s">
        <v>112</v>
      </c>
      <c r="D232" s="85">
        <f>'№4'!F126</f>
        <v>77.3</v>
      </c>
      <c r="E232" s="85">
        <f>'№4'!G126</f>
        <v>0</v>
      </c>
      <c r="F232" s="85">
        <f>'№4'!H126</f>
        <v>0</v>
      </c>
    </row>
    <row r="233" spans="1:6" ht="54.6" customHeight="1">
      <c r="A233" s="237" t="s">
        <v>227</v>
      </c>
      <c r="B233" s="237" t="s">
        <v>93</v>
      </c>
      <c r="C233" s="238" t="s">
        <v>371</v>
      </c>
      <c r="D233" s="239">
        <f>D234+D238+D236</f>
        <v>3928</v>
      </c>
      <c r="E233" s="239">
        <f aca="true" t="shared" si="115" ref="E233:F233">E234+E238+E236</f>
        <v>3500</v>
      </c>
      <c r="F233" s="239">
        <f t="shared" si="115"/>
        <v>0</v>
      </c>
    </row>
    <row r="234" spans="1:6" ht="37.9" customHeight="1">
      <c r="A234" s="84" t="s">
        <v>228</v>
      </c>
      <c r="B234" s="240" t="s">
        <v>93</v>
      </c>
      <c r="C234" s="241" t="s">
        <v>374</v>
      </c>
      <c r="D234" s="85">
        <f>D235</f>
        <v>3500</v>
      </c>
      <c r="E234" s="85">
        <f aca="true" t="shared" si="116" ref="E234:F234">E235</f>
        <v>3500</v>
      </c>
      <c r="F234" s="85">
        <f t="shared" si="116"/>
        <v>0</v>
      </c>
    </row>
    <row r="235" spans="1:6" ht="33">
      <c r="A235" s="84" t="s">
        <v>228</v>
      </c>
      <c r="B235" s="84" t="s">
        <v>25</v>
      </c>
      <c r="C235" s="241" t="s">
        <v>112</v>
      </c>
      <c r="D235" s="85">
        <f>'№4'!F129</f>
        <v>3500</v>
      </c>
      <c r="E235" s="85">
        <f>'№4'!G129</f>
        <v>3500</v>
      </c>
      <c r="F235" s="85">
        <f>'№4'!H129</f>
        <v>0</v>
      </c>
    </row>
    <row r="236" spans="1:6" ht="33">
      <c r="A236" s="6" t="s">
        <v>616</v>
      </c>
      <c r="B236" s="87"/>
      <c r="C236" s="5" t="s">
        <v>617</v>
      </c>
      <c r="D236" s="85">
        <f>D237</f>
        <v>250.7</v>
      </c>
      <c r="E236" s="85">
        <f aca="true" t="shared" si="117" ref="E236:F236">E237</f>
        <v>0</v>
      </c>
      <c r="F236" s="85">
        <f t="shared" si="117"/>
        <v>0</v>
      </c>
    </row>
    <row r="237" spans="1:6" ht="33">
      <c r="A237" s="6" t="s">
        <v>616</v>
      </c>
      <c r="B237" s="84" t="s">
        <v>25</v>
      </c>
      <c r="C237" s="241" t="s">
        <v>112</v>
      </c>
      <c r="D237" s="85">
        <f>'№4'!F132</f>
        <v>250.7</v>
      </c>
      <c r="E237" s="85">
        <f>'№4'!G132</f>
        <v>0</v>
      </c>
      <c r="F237" s="85">
        <f>'№4'!H132</f>
        <v>0</v>
      </c>
    </row>
    <row r="238" spans="1:6" ht="33">
      <c r="A238" s="67" t="s">
        <v>611</v>
      </c>
      <c r="B238" s="67" t="s">
        <v>93</v>
      </c>
      <c r="C238" s="68" t="s">
        <v>612</v>
      </c>
      <c r="D238" s="85">
        <f>D239</f>
        <v>177.3</v>
      </c>
      <c r="E238" s="85">
        <f aca="true" t="shared" si="118" ref="E238:F238">E239</f>
        <v>0</v>
      </c>
      <c r="F238" s="85">
        <f t="shared" si="118"/>
        <v>0</v>
      </c>
    </row>
    <row r="239" spans="1:6" ht="33">
      <c r="A239" s="67" t="s">
        <v>611</v>
      </c>
      <c r="B239" s="84" t="s">
        <v>25</v>
      </c>
      <c r="C239" s="241" t="s">
        <v>112</v>
      </c>
      <c r="D239" s="85">
        <f>'№4'!F134</f>
        <v>177.3</v>
      </c>
      <c r="E239" s="85">
        <f>'№4'!G134</f>
        <v>0</v>
      </c>
      <c r="F239" s="85">
        <f>'№4'!H134</f>
        <v>0</v>
      </c>
    </row>
    <row r="240" spans="1:6" ht="70.9" customHeight="1">
      <c r="A240" s="237" t="s">
        <v>229</v>
      </c>
      <c r="B240" s="237" t="s">
        <v>93</v>
      </c>
      <c r="C240" s="238" t="s">
        <v>375</v>
      </c>
      <c r="D240" s="239">
        <f>D241+D248</f>
        <v>575.9</v>
      </c>
      <c r="E240" s="239">
        <f aca="true" t="shared" si="119" ref="E240:F240">E241+E248</f>
        <v>243</v>
      </c>
      <c r="F240" s="239">
        <f t="shared" si="119"/>
        <v>247.9</v>
      </c>
    </row>
    <row r="241" spans="1:6" ht="49.5">
      <c r="A241" s="237" t="s">
        <v>230</v>
      </c>
      <c r="B241" s="237" t="s">
        <v>93</v>
      </c>
      <c r="C241" s="238" t="s">
        <v>164</v>
      </c>
      <c r="D241" s="239">
        <f>D242+D244+D246</f>
        <v>65.3</v>
      </c>
      <c r="E241" s="239">
        <f aca="true" t="shared" si="120" ref="E241:F241">E242+E244+E246</f>
        <v>66.5</v>
      </c>
      <c r="F241" s="239">
        <f t="shared" si="120"/>
        <v>67.9</v>
      </c>
    </row>
    <row r="242" spans="1:6" ht="49.5">
      <c r="A242" s="84" t="s">
        <v>231</v>
      </c>
      <c r="B242" s="240" t="s">
        <v>93</v>
      </c>
      <c r="C242" s="241" t="s">
        <v>165</v>
      </c>
      <c r="D242" s="85">
        <f>D243</f>
        <v>26</v>
      </c>
      <c r="E242" s="85">
        <f aca="true" t="shared" si="121" ref="E242:F242">E243</f>
        <v>27.5</v>
      </c>
      <c r="F242" s="85">
        <f t="shared" si="121"/>
        <v>28.1</v>
      </c>
    </row>
    <row r="243" spans="1:6" ht="33">
      <c r="A243" s="84" t="s">
        <v>231</v>
      </c>
      <c r="B243" s="84" t="s">
        <v>25</v>
      </c>
      <c r="C243" s="241" t="s">
        <v>112</v>
      </c>
      <c r="D243" s="85">
        <f>'№4'!F139</f>
        <v>26</v>
      </c>
      <c r="E243" s="85">
        <f>'№4'!G139</f>
        <v>27.5</v>
      </c>
      <c r="F243" s="85">
        <f>'№4'!H139</f>
        <v>28.1</v>
      </c>
    </row>
    <row r="244" spans="1:6" ht="49.5">
      <c r="A244" s="84" t="s">
        <v>378</v>
      </c>
      <c r="B244" s="240" t="s">
        <v>93</v>
      </c>
      <c r="C244" s="68" t="s">
        <v>499</v>
      </c>
      <c r="D244" s="85">
        <f>D245</f>
        <v>34</v>
      </c>
      <c r="E244" s="85">
        <f aca="true" t="shared" si="122" ref="E244:F244">E245</f>
        <v>33.7</v>
      </c>
      <c r="F244" s="85">
        <f t="shared" si="122"/>
        <v>34.4</v>
      </c>
    </row>
    <row r="245" spans="1:6" ht="33">
      <c r="A245" s="84" t="s">
        <v>378</v>
      </c>
      <c r="B245" s="84" t="s">
        <v>25</v>
      </c>
      <c r="C245" s="241" t="s">
        <v>112</v>
      </c>
      <c r="D245" s="85">
        <f>'№4'!F141</f>
        <v>34</v>
      </c>
      <c r="E245" s="85">
        <f>'№4'!G141</f>
        <v>33.7</v>
      </c>
      <c r="F245" s="85">
        <f>'№4'!H141</f>
        <v>34.4</v>
      </c>
    </row>
    <row r="246" spans="1:6" ht="119.25" customHeight="1">
      <c r="A246" s="84" t="s">
        <v>232</v>
      </c>
      <c r="B246" s="240" t="s">
        <v>93</v>
      </c>
      <c r="C246" s="241" t="s">
        <v>381</v>
      </c>
      <c r="D246" s="85">
        <f>D247</f>
        <v>5.3</v>
      </c>
      <c r="E246" s="85">
        <f aca="true" t="shared" si="123" ref="E246:F246">E247</f>
        <v>5.3</v>
      </c>
      <c r="F246" s="85">
        <f t="shared" si="123"/>
        <v>5.4</v>
      </c>
    </row>
    <row r="247" spans="1:6" ht="33">
      <c r="A247" s="84" t="s">
        <v>232</v>
      </c>
      <c r="B247" s="84" t="s">
        <v>25</v>
      </c>
      <c r="C247" s="241" t="s">
        <v>112</v>
      </c>
      <c r="D247" s="85">
        <f>'№4'!F144</f>
        <v>5.3</v>
      </c>
      <c r="E247" s="85">
        <f>'№4'!G144</f>
        <v>5.3</v>
      </c>
      <c r="F247" s="85">
        <f>'№4'!H144</f>
        <v>5.4</v>
      </c>
    </row>
    <row r="248" spans="1:6" ht="33">
      <c r="A248" s="237" t="s">
        <v>233</v>
      </c>
      <c r="B248" s="237" t="s">
        <v>93</v>
      </c>
      <c r="C248" s="238" t="s">
        <v>166</v>
      </c>
      <c r="D248" s="239">
        <f>D249+D251</f>
        <v>510.59999999999997</v>
      </c>
      <c r="E248" s="239">
        <f aca="true" t="shared" si="124" ref="E248:F248">E249+E251</f>
        <v>176.5</v>
      </c>
      <c r="F248" s="239">
        <f t="shared" si="124"/>
        <v>180</v>
      </c>
    </row>
    <row r="249" spans="1:6" ht="37.9" customHeight="1">
      <c r="A249" s="84" t="s">
        <v>234</v>
      </c>
      <c r="B249" s="240" t="s">
        <v>93</v>
      </c>
      <c r="C249" s="241" t="s">
        <v>167</v>
      </c>
      <c r="D249" s="85">
        <f>D250</f>
        <v>379.79999999999995</v>
      </c>
      <c r="E249" s="85">
        <f aca="true" t="shared" si="125" ref="E249:F249">E250</f>
        <v>31.4</v>
      </c>
      <c r="F249" s="85">
        <f t="shared" si="125"/>
        <v>32</v>
      </c>
    </row>
    <row r="250" spans="1:6" ht="33">
      <c r="A250" s="84" t="s">
        <v>234</v>
      </c>
      <c r="B250" s="84" t="s">
        <v>25</v>
      </c>
      <c r="C250" s="241" t="s">
        <v>112</v>
      </c>
      <c r="D250" s="85">
        <f>'№4'!F148</f>
        <v>379.79999999999995</v>
      </c>
      <c r="E250" s="85">
        <f>'№4'!G148</f>
        <v>31.4</v>
      </c>
      <c r="F250" s="85">
        <f>'№4'!H148</f>
        <v>32</v>
      </c>
    </row>
    <row r="251" spans="1:6" ht="49.5">
      <c r="A251" s="84" t="s">
        <v>235</v>
      </c>
      <c r="B251" s="240" t="s">
        <v>93</v>
      </c>
      <c r="C251" s="241" t="s">
        <v>168</v>
      </c>
      <c r="D251" s="85">
        <f>D252</f>
        <v>130.8</v>
      </c>
      <c r="E251" s="85">
        <f aca="true" t="shared" si="126" ref="E251:F251">E252</f>
        <v>145.1</v>
      </c>
      <c r="F251" s="85">
        <f t="shared" si="126"/>
        <v>148</v>
      </c>
    </row>
    <row r="252" spans="1:6" ht="33">
      <c r="A252" s="84" t="s">
        <v>235</v>
      </c>
      <c r="B252" s="84" t="s">
        <v>25</v>
      </c>
      <c r="C252" s="241" t="s">
        <v>112</v>
      </c>
      <c r="D252" s="85">
        <f>'№4'!F150</f>
        <v>130.8</v>
      </c>
      <c r="E252" s="85">
        <f>'№4'!G150</f>
        <v>145.1</v>
      </c>
      <c r="F252" s="85">
        <f>'№4'!H150</f>
        <v>148</v>
      </c>
    </row>
    <row r="253" spans="1:6" ht="66">
      <c r="A253" s="237" t="s">
        <v>200</v>
      </c>
      <c r="B253" s="237" t="s">
        <v>93</v>
      </c>
      <c r="C253" s="238" t="s">
        <v>339</v>
      </c>
      <c r="D253" s="239">
        <f>D254+D259+D264+D272+D285+D292+D269</f>
        <v>51659.8</v>
      </c>
      <c r="E253" s="239">
        <f aca="true" t="shared" si="127" ref="E253:F253">E254+E259+E264+E272+E285+E292+E269</f>
        <v>50827</v>
      </c>
      <c r="F253" s="239">
        <f t="shared" si="127"/>
        <v>50893.5</v>
      </c>
    </row>
    <row r="254" spans="1:6" ht="82.5">
      <c r="A254" s="237" t="s">
        <v>206</v>
      </c>
      <c r="B254" s="237" t="s">
        <v>93</v>
      </c>
      <c r="C254" s="238" t="s">
        <v>345</v>
      </c>
      <c r="D254" s="239">
        <f>D255+D257</f>
        <v>1069.7</v>
      </c>
      <c r="E254" s="239">
        <f aca="true" t="shared" si="128" ref="E254:F254">E255+E257</f>
        <v>421.9</v>
      </c>
      <c r="F254" s="239">
        <f t="shared" si="128"/>
        <v>428.5</v>
      </c>
    </row>
    <row r="255" spans="1:6" ht="33">
      <c r="A255" s="84" t="s">
        <v>207</v>
      </c>
      <c r="B255" s="240" t="s">
        <v>93</v>
      </c>
      <c r="C255" s="241" t="s">
        <v>157</v>
      </c>
      <c r="D255" s="85">
        <f>D256</f>
        <v>615.4</v>
      </c>
      <c r="E255" s="85">
        <f aca="true" t="shared" si="129" ref="E255:F255">E256</f>
        <v>421.9</v>
      </c>
      <c r="F255" s="85">
        <f t="shared" si="129"/>
        <v>428.5</v>
      </c>
    </row>
    <row r="256" spans="1:6" ht="33">
      <c r="A256" s="84" t="s">
        <v>207</v>
      </c>
      <c r="B256" s="84" t="s">
        <v>25</v>
      </c>
      <c r="C256" s="241" t="s">
        <v>112</v>
      </c>
      <c r="D256" s="85">
        <f>'№4'!F38</f>
        <v>615.4</v>
      </c>
      <c r="E256" s="85">
        <f>'№4'!G38</f>
        <v>421.9</v>
      </c>
      <c r="F256" s="85">
        <f>'№4'!H38</f>
        <v>428.5</v>
      </c>
    </row>
    <row r="257" spans="1:6" ht="49.5">
      <c r="A257" s="84" t="s">
        <v>348</v>
      </c>
      <c r="B257" s="240" t="s">
        <v>93</v>
      </c>
      <c r="C257" s="241" t="s">
        <v>349</v>
      </c>
      <c r="D257" s="85">
        <f>D258</f>
        <v>454.30000000000007</v>
      </c>
      <c r="E257" s="85">
        <f aca="true" t="shared" si="130" ref="E257:F257">E258</f>
        <v>0</v>
      </c>
      <c r="F257" s="85">
        <f t="shared" si="130"/>
        <v>0</v>
      </c>
    </row>
    <row r="258" spans="1:6" ht="33">
      <c r="A258" s="84" t="s">
        <v>348</v>
      </c>
      <c r="B258" s="84" t="s">
        <v>25</v>
      </c>
      <c r="C258" s="241" t="s">
        <v>112</v>
      </c>
      <c r="D258" s="85">
        <f>'№4'!F40</f>
        <v>454.30000000000007</v>
      </c>
      <c r="E258" s="85">
        <f>'№4'!G40</f>
        <v>0</v>
      </c>
      <c r="F258" s="85">
        <f>'№4'!H40</f>
        <v>0</v>
      </c>
    </row>
    <row r="259" spans="1:6" ht="121.9" customHeight="1">
      <c r="A259" s="237" t="s">
        <v>208</v>
      </c>
      <c r="B259" s="237" t="s">
        <v>93</v>
      </c>
      <c r="C259" s="238" t="s">
        <v>158</v>
      </c>
      <c r="D259" s="239">
        <f>D260+D262</f>
        <v>76.5</v>
      </c>
      <c r="E259" s="239">
        <f aca="true" t="shared" si="131" ref="E259:F259">E260+E262</f>
        <v>78</v>
      </c>
      <c r="F259" s="239">
        <f t="shared" si="131"/>
        <v>79.5</v>
      </c>
    </row>
    <row r="260" spans="1:6" ht="53.45" customHeight="1">
      <c r="A260" s="84" t="s">
        <v>209</v>
      </c>
      <c r="B260" s="240" t="s">
        <v>93</v>
      </c>
      <c r="C260" s="241" t="s">
        <v>159</v>
      </c>
      <c r="D260" s="85">
        <f>D261</f>
        <v>51</v>
      </c>
      <c r="E260" s="85">
        <f aca="true" t="shared" si="132" ref="E260:F260">E261</f>
        <v>52</v>
      </c>
      <c r="F260" s="85">
        <f t="shared" si="132"/>
        <v>53</v>
      </c>
    </row>
    <row r="261" spans="1:6" ht="33">
      <c r="A261" s="84" t="s">
        <v>209</v>
      </c>
      <c r="B261" s="84" t="s">
        <v>25</v>
      </c>
      <c r="C261" s="241" t="s">
        <v>112</v>
      </c>
      <c r="D261" s="85">
        <f>'№4'!F44</f>
        <v>51</v>
      </c>
      <c r="E261" s="85">
        <f>'№4'!G44</f>
        <v>52</v>
      </c>
      <c r="F261" s="85">
        <f>'№4'!H44</f>
        <v>53</v>
      </c>
    </row>
    <row r="262" spans="1:6" ht="66">
      <c r="A262" s="84" t="s">
        <v>210</v>
      </c>
      <c r="B262" s="240" t="s">
        <v>93</v>
      </c>
      <c r="C262" s="241" t="s">
        <v>160</v>
      </c>
      <c r="D262" s="85">
        <f>D263</f>
        <v>25.5</v>
      </c>
      <c r="E262" s="85">
        <f aca="true" t="shared" si="133" ref="E262:F262">E263</f>
        <v>26</v>
      </c>
      <c r="F262" s="85">
        <f t="shared" si="133"/>
        <v>26.5</v>
      </c>
    </row>
    <row r="263" spans="1:6" ht="33">
      <c r="A263" s="84" t="s">
        <v>210</v>
      </c>
      <c r="B263" s="84" t="s">
        <v>25</v>
      </c>
      <c r="C263" s="241" t="s">
        <v>112</v>
      </c>
      <c r="D263" s="85">
        <f>'№4'!F47</f>
        <v>25.5</v>
      </c>
      <c r="E263" s="85">
        <f>'№4'!G47</f>
        <v>26</v>
      </c>
      <c r="F263" s="85">
        <f>'№4'!H47</f>
        <v>26.5</v>
      </c>
    </row>
    <row r="264" spans="1:6" ht="40.15" customHeight="1">
      <c r="A264" s="237" t="s">
        <v>211</v>
      </c>
      <c r="B264" s="237" t="s">
        <v>93</v>
      </c>
      <c r="C264" s="238" t="s">
        <v>161</v>
      </c>
      <c r="D264" s="239">
        <f>D265+D267</f>
        <v>205.7</v>
      </c>
      <c r="E264" s="239">
        <f aca="true" t="shared" si="134" ref="E264:F264">E265+E267</f>
        <v>109.2</v>
      </c>
      <c r="F264" s="239">
        <f t="shared" si="134"/>
        <v>111.4</v>
      </c>
    </row>
    <row r="265" spans="1:6" ht="33">
      <c r="A265" s="84" t="s">
        <v>212</v>
      </c>
      <c r="B265" s="240" t="s">
        <v>93</v>
      </c>
      <c r="C265" s="241" t="s">
        <v>356</v>
      </c>
      <c r="D265" s="85">
        <f>D266</f>
        <v>107.1</v>
      </c>
      <c r="E265" s="85">
        <f aca="true" t="shared" si="135" ref="E265:F265">E266</f>
        <v>109.2</v>
      </c>
      <c r="F265" s="85">
        <f t="shared" si="135"/>
        <v>111.4</v>
      </c>
    </row>
    <row r="266" spans="1:6" ht="33">
      <c r="A266" s="84" t="s">
        <v>212</v>
      </c>
      <c r="B266" s="84" t="s">
        <v>25</v>
      </c>
      <c r="C266" s="241" t="s">
        <v>112</v>
      </c>
      <c r="D266" s="85">
        <f>'№4'!F51</f>
        <v>107.1</v>
      </c>
      <c r="E266" s="85">
        <f>'№4'!G51</f>
        <v>109.2</v>
      </c>
      <c r="F266" s="85">
        <f>'№4'!H51</f>
        <v>111.4</v>
      </c>
    </row>
    <row r="267" spans="1:6" ht="49.5">
      <c r="A267" s="67" t="s">
        <v>651</v>
      </c>
      <c r="B267" s="67"/>
      <c r="C267" s="68" t="s">
        <v>652</v>
      </c>
      <c r="D267" s="85">
        <f>D268</f>
        <v>98.6</v>
      </c>
      <c r="E267" s="85">
        <f aca="true" t="shared" si="136" ref="E267:F267">E268</f>
        <v>0</v>
      </c>
      <c r="F267" s="85">
        <f t="shared" si="136"/>
        <v>0</v>
      </c>
    </row>
    <row r="268" spans="1:6" ht="33">
      <c r="A268" s="67" t="s">
        <v>651</v>
      </c>
      <c r="B268" s="84" t="s">
        <v>25</v>
      </c>
      <c r="C268" s="241" t="s">
        <v>112</v>
      </c>
      <c r="D268" s="85">
        <f>'№4'!F54</f>
        <v>98.6</v>
      </c>
      <c r="E268" s="85">
        <f>'№4'!G54</f>
        <v>0</v>
      </c>
      <c r="F268" s="85">
        <f>'№4'!H54</f>
        <v>0</v>
      </c>
    </row>
    <row r="269" spans="1:6" ht="49.5">
      <c r="A269" s="237" t="s">
        <v>217</v>
      </c>
      <c r="B269" s="237"/>
      <c r="C269" s="238" t="s">
        <v>162</v>
      </c>
      <c r="D269" s="239">
        <f>D270</f>
        <v>6537.3</v>
      </c>
      <c r="E269" s="239">
        <f aca="true" t="shared" si="137" ref="E269:F270">E270</f>
        <v>6535</v>
      </c>
      <c r="F269" s="239">
        <f t="shared" si="137"/>
        <v>6535</v>
      </c>
    </row>
    <row r="270" spans="1:6" ht="49.5">
      <c r="A270" s="67" t="s">
        <v>218</v>
      </c>
      <c r="B270" s="67"/>
      <c r="C270" s="68" t="s">
        <v>163</v>
      </c>
      <c r="D270" s="85">
        <f>D271</f>
        <v>6537.3</v>
      </c>
      <c r="E270" s="85">
        <f t="shared" si="137"/>
        <v>6535</v>
      </c>
      <c r="F270" s="85">
        <f t="shared" si="137"/>
        <v>6535</v>
      </c>
    </row>
    <row r="271" spans="1:6" ht="33">
      <c r="A271" s="67" t="s">
        <v>218</v>
      </c>
      <c r="B271" s="84" t="s">
        <v>25</v>
      </c>
      <c r="C271" s="241" t="s">
        <v>112</v>
      </c>
      <c r="D271" s="85">
        <f>'№4'!F87</f>
        <v>6537.3</v>
      </c>
      <c r="E271" s="85">
        <f>'№4'!G87</f>
        <v>6535</v>
      </c>
      <c r="F271" s="85">
        <f>'№4'!H87</f>
        <v>6535</v>
      </c>
    </row>
    <row r="272" spans="1:6" ht="72.6" customHeight="1">
      <c r="A272" s="237" t="s">
        <v>213</v>
      </c>
      <c r="B272" s="237" t="s">
        <v>93</v>
      </c>
      <c r="C272" s="238" t="s">
        <v>155</v>
      </c>
      <c r="D272" s="239">
        <f>D275+D277+D279+D281+D283+D273</f>
        <v>3024.7</v>
      </c>
      <c r="E272" s="239">
        <f aca="true" t="shared" si="138" ref="E272:F272">E275+E277+E279+E281+E283+E273</f>
        <v>2588.6</v>
      </c>
      <c r="F272" s="239">
        <f t="shared" si="138"/>
        <v>2640.7999999999997</v>
      </c>
    </row>
    <row r="273" spans="1:6" ht="99">
      <c r="A273" s="6" t="s">
        <v>586</v>
      </c>
      <c r="B273" s="180"/>
      <c r="C273" s="5" t="s">
        <v>587</v>
      </c>
      <c r="D273" s="85">
        <f>D274</f>
        <v>485.9</v>
      </c>
      <c r="E273" s="85">
        <f aca="true" t="shared" si="139" ref="E273:F273">E274</f>
        <v>0</v>
      </c>
      <c r="F273" s="85">
        <f t="shared" si="139"/>
        <v>0</v>
      </c>
    </row>
    <row r="274" spans="1:6" ht="33">
      <c r="A274" s="6" t="s">
        <v>586</v>
      </c>
      <c r="B274" s="84" t="s">
        <v>25</v>
      </c>
      <c r="C274" s="241" t="s">
        <v>112</v>
      </c>
      <c r="D274" s="85">
        <f>'№4'!F289</f>
        <v>485.9</v>
      </c>
      <c r="E274" s="85">
        <f>'№4'!G289</f>
        <v>0</v>
      </c>
      <c r="F274" s="85">
        <f>'№4'!H289</f>
        <v>0</v>
      </c>
    </row>
    <row r="275" spans="1:6" ht="106.9" customHeight="1">
      <c r="A275" s="84" t="s">
        <v>254</v>
      </c>
      <c r="B275" s="240" t="s">
        <v>93</v>
      </c>
      <c r="C275" s="241" t="s">
        <v>423</v>
      </c>
      <c r="D275" s="85">
        <f>D276</f>
        <v>942.5</v>
      </c>
      <c r="E275" s="85">
        <f aca="true" t="shared" si="140" ref="E275:F275">E276</f>
        <v>961.4</v>
      </c>
      <c r="F275" s="85">
        <f t="shared" si="140"/>
        <v>980.6</v>
      </c>
    </row>
    <row r="276" spans="1:6" ht="33">
      <c r="A276" s="84" t="s">
        <v>254</v>
      </c>
      <c r="B276" s="84" t="s">
        <v>25</v>
      </c>
      <c r="C276" s="241" t="s">
        <v>112</v>
      </c>
      <c r="D276" s="85">
        <f>'№4'!F292</f>
        <v>942.5</v>
      </c>
      <c r="E276" s="85">
        <f>'№4'!G292</f>
        <v>961.4</v>
      </c>
      <c r="F276" s="85">
        <f>'№4'!H292</f>
        <v>980.6</v>
      </c>
    </row>
    <row r="277" spans="1:6" ht="104.45" customHeight="1">
      <c r="A277" s="84" t="s">
        <v>255</v>
      </c>
      <c r="B277" s="240" t="s">
        <v>93</v>
      </c>
      <c r="C277" s="241" t="s">
        <v>193</v>
      </c>
      <c r="D277" s="85">
        <f>D278</f>
        <v>489.6</v>
      </c>
      <c r="E277" s="85">
        <f aca="true" t="shared" si="141" ref="E277:F277">E278</f>
        <v>499.4</v>
      </c>
      <c r="F277" s="85">
        <f t="shared" si="141"/>
        <v>509.4</v>
      </c>
    </row>
    <row r="278" spans="1:6" ht="33">
      <c r="A278" s="84" t="s">
        <v>255</v>
      </c>
      <c r="B278" s="84" t="s">
        <v>25</v>
      </c>
      <c r="C278" s="241" t="s">
        <v>112</v>
      </c>
      <c r="D278" s="85">
        <f>'№4'!F293</f>
        <v>489.6</v>
      </c>
      <c r="E278" s="85">
        <f>'№4'!G293</f>
        <v>499.4</v>
      </c>
      <c r="F278" s="85">
        <f>'№4'!H293</f>
        <v>509.4</v>
      </c>
    </row>
    <row r="279" spans="1:6" ht="82.5">
      <c r="A279" s="84" t="s">
        <v>424</v>
      </c>
      <c r="B279" s="240" t="s">
        <v>93</v>
      </c>
      <c r="C279" s="241" t="s">
        <v>425</v>
      </c>
      <c r="D279" s="85">
        <f>D280</f>
        <v>636.5</v>
      </c>
      <c r="E279" s="85">
        <f aca="true" t="shared" si="142" ref="E279:F279">E280</f>
        <v>649.2</v>
      </c>
      <c r="F279" s="85">
        <f t="shared" si="142"/>
        <v>662.2</v>
      </c>
    </row>
    <row r="280" spans="1:6" ht="33">
      <c r="A280" s="84" t="s">
        <v>424</v>
      </c>
      <c r="B280" s="84" t="s">
        <v>25</v>
      </c>
      <c r="C280" s="241" t="s">
        <v>112</v>
      </c>
      <c r="D280" s="85">
        <f>'№4'!F295</f>
        <v>636.5</v>
      </c>
      <c r="E280" s="85">
        <f>'№4'!G295</f>
        <v>649.2</v>
      </c>
      <c r="F280" s="85">
        <f>'№4'!H295</f>
        <v>662.2</v>
      </c>
    </row>
    <row r="281" spans="1:6" ht="33">
      <c r="A281" s="84" t="s">
        <v>214</v>
      </c>
      <c r="B281" s="240" t="s">
        <v>93</v>
      </c>
      <c r="C281" s="241" t="s">
        <v>156</v>
      </c>
      <c r="D281" s="85">
        <f>D282</f>
        <v>62.199999999999996</v>
      </c>
      <c r="E281" s="85">
        <f aca="true" t="shared" si="143" ref="E281:F281">E282</f>
        <v>62.4</v>
      </c>
      <c r="F281" s="85">
        <f t="shared" si="143"/>
        <v>64.1</v>
      </c>
    </row>
    <row r="282" spans="1:6" ht="33">
      <c r="A282" s="84" t="s">
        <v>214</v>
      </c>
      <c r="B282" s="84" t="s">
        <v>25</v>
      </c>
      <c r="C282" s="241" t="s">
        <v>112</v>
      </c>
      <c r="D282" s="85">
        <f>'№4'!F57</f>
        <v>62.199999999999996</v>
      </c>
      <c r="E282" s="85">
        <f>'№4'!G57</f>
        <v>62.4</v>
      </c>
      <c r="F282" s="85">
        <f>'№4'!H57</f>
        <v>64.1</v>
      </c>
    </row>
    <row r="283" spans="1:6" ht="49.5">
      <c r="A283" s="84" t="s">
        <v>251</v>
      </c>
      <c r="B283" s="240" t="s">
        <v>93</v>
      </c>
      <c r="C283" s="241" t="s">
        <v>417</v>
      </c>
      <c r="D283" s="85">
        <f>D284</f>
        <v>408</v>
      </c>
      <c r="E283" s="85">
        <f aca="true" t="shared" si="144" ref="E283:F283">E284</f>
        <v>416.2</v>
      </c>
      <c r="F283" s="85">
        <f t="shared" si="144"/>
        <v>424.5</v>
      </c>
    </row>
    <row r="284" spans="1:6" ht="33">
      <c r="A284" s="84" t="s">
        <v>251</v>
      </c>
      <c r="B284" s="84" t="s">
        <v>25</v>
      </c>
      <c r="C284" s="241" t="s">
        <v>112</v>
      </c>
      <c r="D284" s="85">
        <f>'№4'!F272</f>
        <v>408</v>
      </c>
      <c r="E284" s="85">
        <f>'№4'!G272</f>
        <v>416.2</v>
      </c>
      <c r="F284" s="85">
        <f>'№4'!H272</f>
        <v>424.5</v>
      </c>
    </row>
    <row r="285" spans="1:6" ht="33">
      <c r="A285" s="237" t="s">
        <v>249</v>
      </c>
      <c r="B285" s="237" t="s">
        <v>93</v>
      </c>
      <c r="C285" s="238" t="s">
        <v>154</v>
      </c>
      <c r="D285" s="239">
        <f>D286+D288+D290</f>
        <v>1593.3</v>
      </c>
      <c r="E285" s="239">
        <f aca="true" t="shared" si="145" ref="E285:F285">E286+E288+E290</f>
        <v>2111.5</v>
      </c>
      <c r="F285" s="239">
        <f t="shared" si="145"/>
        <v>2115.8</v>
      </c>
    </row>
    <row r="286" spans="1:6" ht="66">
      <c r="A286" s="84" t="s">
        <v>250</v>
      </c>
      <c r="B286" s="240" t="s">
        <v>93</v>
      </c>
      <c r="C286" s="241" t="s">
        <v>94</v>
      </c>
      <c r="D286" s="85">
        <f>D287</f>
        <v>1313.3</v>
      </c>
      <c r="E286" s="85">
        <f aca="true" t="shared" si="146" ref="E286:F286">E287</f>
        <v>1773.5</v>
      </c>
      <c r="F286" s="85">
        <f t="shared" si="146"/>
        <v>1773.5</v>
      </c>
    </row>
    <row r="287" spans="1:6" ht="33">
      <c r="A287" s="84" t="s">
        <v>250</v>
      </c>
      <c r="B287" s="84" t="s">
        <v>25</v>
      </c>
      <c r="C287" s="241" t="s">
        <v>112</v>
      </c>
      <c r="D287" s="85">
        <f>'№4'!F267</f>
        <v>1313.3</v>
      </c>
      <c r="E287" s="85">
        <f>'№4'!G267</f>
        <v>1773.5</v>
      </c>
      <c r="F287" s="85">
        <f>'№4'!H267</f>
        <v>1773.5</v>
      </c>
    </row>
    <row r="288" spans="1:6" ht="49.5">
      <c r="A288" s="84" t="s">
        <v>253</v>
      </c>
      <c r="B288" s="240" t="s">
        <v>93</v>
      </c>
      <c r="C288" s="241" t="s">
        <v>418</v>
      </c>
      <c r="D288" s="85">
        <f>D289</f>
        <v>121</v>
      </c>
      <c r="E288" s="85">
        <f aca="true" t="shared" si="147" ref="E288:F288">E289</f>
        <v>121</v>
      </c>
      <c r="F288" s="85">
        <f t="shared" si="147"/>
        <v>121</v>
      </c>
    </row>
    <row r="289" spans="1:6" ht="33">
      <c r="A289" s="84" t="s">
        <v>253</v>
      </c>
      <c r="B289" s="84" t="s">
        <v>25</v>
      </c>
      <c r="C289" s="241" t="s">
        <v>112</v>
      </c>
      <c r="D289" s="85">
        <f>'№4'!F278</f>
        <v>121</v>
      </c>
      <c r="E289" s="85">
        <f>'№4'!G278</f>
        <v>121</v>
      </c>
      <c r="F289" s="85">
        <f>'№4'!H278</f>
        <v>121</v>
      </c>
    </row>
    <row r="290" spans="1:6" ht="33">
      <c r="A290" s="84" t="s">
        <v>252</v>
      </c>
      <c r="B290" s="240" t="s">
        <v>93</v>
      </c>
      <c r="C290" s="241" t="s">
        <v>196</v>
      </c>
      <c r="D290" s="85">
        <f>D291</f>
        <v>159</v>
      </c>
      <c r="E290" s="85">
        <f aca="true" t="shared" si="148" ref="E290:F290">E291</f>
        <v>217</v>
      </c>
      <c r="F290" s="85">
        <f t="shared" si="148"/>
        <v>221.3</v>
      </c>
    </row>
    <row r="291" spans="1:6" ht="33">
      <c r="A291" s="84" t="s">
        <v>252</v>
      </c>
      <c r="B291" s="84" t="s">
        <v>25</v>
      </c>
      <c r="C291" s="241" t="s">
        <v>112</v>
      </c>
      <c r="D291" s="85">
        <f>'№4'!F282</f>
        <v>159</v>
      </c>
      <c r="E291" s="85">
        <f>'№4'!G282</f>
        <v>217</v>
      </c>
      <c r="F291" s="85">
        <f>'№4'!H282</f>
        <v>221.3</v>
      </c>
    </row>
    <row r="292" spans="1:6" ht="12.75">
      <c r="A292" s="237" t="s">
        <v>201</v>
      </c>
      <c r="B292" s="237" t="s">
        <v>93</v>
      </c>
      <c r="C292" s="238" t="s">
        <v>2</v>
      </c>
      <c r="D292" s="239">
        <f>D293+D295+D299+D301+D303+D305+D297</f>
        <v>39152.6</v>
      </c>
      <c r="E292" s="239">
        <f aca="true" t="shared" si="149" ref="E292:F292">E293+E295+E299+E301+E303+E305+E297</f>
        <v>38982.8</v>
      </c>
      <c r="F292" s="239">
        <f t="shared" si="149"/>
        <v>38982.5</v>
      </c>
    </row>
    <row r="293" spans="1:6" ht="66">
      <c r="A293" s="84" t="s">
        <v>205</v>
      </c>
      <c r="B293" s="240" t="s">
        <v>93</v>
      </c>
      <c r="C293" s="241" t="s">
        <v>315</v>
      </c>
      <c r="D293" s="85">
        <f>D294</f>
        <v>650</v>
      </c>
      <c r="E293" s="85">
        <f aca="true" t="shared" si="150" ref="E293:F293">E294</f>
        <v>650</v>
      </c>
      <c r="F293" s="85">
        <f t="shared" si="150"/>
        <v>650</v>
      </c>
    </row>
    <row r="294" spans="1:6" ht="33">
      <c r="A294" s="84" t="s">
        <v>205</v>
      </c>
      <c r="B294" s="84" t="s">
        <v>25</v>
      </c>
      <c r="C294" s="241" t="s">
        <v>112</v>
      </c>
      <c r="D294" s="85">
        <f>'№4'!F20</f>
        <v>650</v>
      </c>
      <c r="E294" s="85">
        <f>'№4'!G20</f>
        <v>650</v>
      </c>
      <c r="F294" s="85">
        <f>'№4'!H20</f>
        <v>650</v>
      </c>
    </row>
    <row r="295" spans="1:6" ht="90" customHeight="1">
      <c r="A295" s="84" t="s">
        <v>215</v>
      </c>
      <c r="B295" s="240" t="s">
        <v>93</v>
      </c>
      <c r="C295" s="241" t="s">
        <v>191</v>
      </c>
      <c r="D295" s="85">
        <f>D296</f>
        <v>264</v>
      </c>
      <c r="E295" s="85">
        <f aca="true" t="shared" si="151" ref="E295:F295">E296</f>
        <v>264</v>
      </c>
      <c r="F295" s="85">
        <f t="shared" si="151"/>
        <v>264</v>
      </c>
    </row>
    <row r="296" spans="1:6" ht="33">
      <c r="A296" s="84" t="s">
        <v>215</v>
      </c>
      <c r="B296" s="84" t="s">
        <v>25</v>
      </c>
      <c r="C296" s="241" t="s">
        <v>112</v>
      </c>
      <c r="D296" s="85">
        <f>'№4'!F62</f>
        <v>264</v>
      </c>
      <c r="E296" s="85">
        <f>'№4'!G62</f>
        <v>264</v>
      </c>
      <c r="F296" s="85">
        <f>'№4'!H62</f>
        <v>264</v>
      </c>
    </row>
    <row r="297" spans="1:6" ht="99">
      <c r="A297" s="6" t="s">
        <v>576</v>
      </c>
      <c r="B297" s="180"/>
      <c r="C297" s="14" t="s">
        <v>577</v>
      </c>
      <c r="D297" s="85">
        <f>D298</f>
        <v>2.6</v>
      </c>
      <c r="E297" s="85">
        <f aca="true" t="shared" si="152" ref="E297:F297">E298</f>
        <v>0</v>
      </c>
      <c r="F297" s="85">
        <f t="shared" si="152"/>
        <v>0</v>
      </c>
    </row>
    <row r="298" spans="1:6" ht="33">
      <c r="A298" s="6" t="s">
        <v>576</v>
      </c>
      <c r="B298" s="84" t="s">
        <v>25</v>
      </c>
      <c r="C298" s="241" t="s">
        <v>112</v>
      </c>
      <c r="D298" s="85">
        <f>'№4'!F66</f>
        <v>2.6</v>
      </c>
      <c r="E298" s="85">
        <f>'№4'!G66</f>
        <v>0</v>
      </c>
      <c r="F298" s="85">
        <f>'№4'!H66</f>
        <v>0</v>
      </c>
    </row>
    <row r="299" spans="1:6" ht="12.75">
      <c r="A299" s="84" t="s">
        <v>202</v>
      </c>
      <c r="B299" s="240" t="s">
        <v>93</v>
      </c>
      <c r="C299" s="241" t="s">
        <v>43</v>
      </c>
      <c r="D299" s="85">
        <f>D300</f>
        <v>1589.9</v>
      </c>
      <c r="E299" s="85">
        <f aca="true" t="shared" si="153" ref="E299:F299">E300</f>
        <v>1479</v>
      </c>
      <c r="F299" s="85">
        <f t="shared" si="153"/>
        <v>1479</v>
      </c>
    </row>
    <row r="300" spans="1:6" ht="33">
      <c r="A300" s="84" t="s">
        <v>202</v>
      </c>
      <c r="B300" s="84" t="s">
        <v>25</v>
      </c>
      <c r="C300" s="241" t="s">
        <v>112</v>
      </c>
      <c r="D300" s="85">
        <f>'№4'!F14</f>
        <v>1589.9</v>
      </c>
      <c r="E300" s="85">
        <f>'№4'!G14</f>
        <v>1479</v>
      </c>
      <c r="F300" s="85">
        <f>'№4'!H14</f>
        <v>1479</v>
      </c>
    </row>
    <row r="301" spans="1:6" ht="82.5">
      <c r="A301" s="84" t="s">
        <v>203</v>
      </c>
      <c r="B301" s="240" t="s">
        <v>93</v>
      </c>
      <c r="C301" s="241" t="s">
        <v>343</v>
      </c>
      <c r="D301" s="85">
        <f>D302</f>
        <v>35001.4</v>
      </c>
      <c r="E301" s="85">
        <f aca="true" t="shared" si="154" ref="E301:F301">E302</f>
        <v>35104</v>
      </c>
      <c r="F301" s="85">
        <f t="shared" si="154"/>
        <v>35104</v>
      </c>
    </row>
    <row r="302" spans="1:6" ht="33">
      <c r="A302" s="84" t="s">
        <v>203</v>
      </c>
      <c r="B302" s="84" t="s">
        <v>25</v>
      </c>
      <c r="C302" s="241" t="s">
        <v>112</v>
      </c>
      <c r="D302" s="85">
        <f>'№4'!F23</f>
        <v>35001.4</v>
      </c>
      <c r="E302" s="85">
        <f>'№4'!G23</f>
        <v>35104</v>
      </c>
      <c r="F302" s="85">
        <f>'№4'!H23</f>
        <v>35104</v>
      </c>
    </row>
    <row r="303" spans="1:6" ht="66">
      <c r="A303" s="84" t="s">
        <v>204</v>
      </c>
      <c r="B303" s="240" t="s">
        <v>93</v>
      </c>
      <c r="C303" s="241" t="s">
        <v>344</v>
      </c>
      <c r="D303" s="85">
        <f>D304</f>
        <v>251.2</v>
      </c>
      <c r="E303" s="85">
        <f aca="true" t="shared" si="155" ref="E303:F303">E304</f>
        <v>234.49999999999997</v>
      </c>
      <c r="F303" s="85">
        <f t="shared" si="155"/>
        <v>234.49999999999997</v>
      </c>
    </row>
    <row r="304" spans="1:6" ht="33">
      <c r="A304" s="84" t="s">
        <v>204</v>
      </c>
      <c r="B304" s="84" t="s">
        <v>25</v>
      </c>
      <c r="C304" s="241" t="s">
        <v>112</v>
      </c>
      <c r="D304" s="85">
        <f>'№4'!F78+'№4'!F67+'№4'!F27</f>
        <v>251.2</v>
      </c>
      <c r="E304" s="85">
        <f>'№4'!G78+'№4'!G67+'№4'!G27</f>
        <v>234.49999999999997</v>
      </c>
      <c r="F304" s="85">
        <f>'№4'!H78+'№4'!H67+'№4'!H27</f>
        <v>234.49999999999997</v>
      </c>
    </row>
    <row r="305" spans="1:6" ht="49.5">
      <c r="A305" s="84" t="s">
        <v>216</v>
      </c>
      <c r="B305" s="240" t="s">
        <v>93</v>
      </c>
      <c r="C305" s="241" t="s">
        <v>359</v>
      </c>
      <c r="D305" s="85">
        <f>D306</f>
        <v>1393.5</v>
      </c>
      <c r="E305" s="85">
        <f aca="true" t="shared" si="156" ref="E305:F305">E306</f>
        <v>1251.3000000000002</v>
      </c>
      <c r="F305" s="85">
        <f t="shared" si="156"/>
        <v>1251</v>
      </c>
    </row>
    <row r="306" spans="1:6" ht="33">
      <c r="A306" s="84" t="s">
        <v>216</v>
      </c>
      <c r="B306" s="84" t="s">
        <v>25</v>
      </c>
      <c r="C306" s="241" t="s">
        <v>112</v>
      </c>
      <c r="D306" s="85">
        <f>'№4'!F80</f>
        <v>1393.5</v>
      </c>
      <c r="E306" s="85">
        <f>'№4'!G80</f>
        <v>1251.3000000000002</v>
      </c>
      <c r="F306" s="85">
        <f>'№4'!H80</f>
        <v>1251</v>
      </c>
    </row>
    <row r="307" spans="1:6" ht="82.5">
      <c r="A307" s="237" t="s">
        <v>264</v>
      </c>
      <c r="B307" s="237" t="s">
        <v>93</v>
      </c>
      <c r="C307" s="238" t="s">
        <v>449</v>
      </c>
      <c r="D307" s="239">
        <f>D308+D317</f>
        <v>11223.2</v>
      </c>
      <c r="E307" s="239">
        <f>E308+E317</f>
        <v>10037.4</v>
      </c>
      <c r="F307" s="239">
        <f>F308+F317</f>
        <v>10037.4</v>
      </c>
    </row>
    <row r="308" spans="1:6" ht="58.15" customHeight="1">
      <c r="A308" s="237" t="s">
        <v>265</v>
      </c>
      <c r="B308" s="237" t="s">
        <v>93</v>
      </c>
      <c r="C308" s="238" t="s">
        <v>147</v>
      </c>
      <c r="D308" s="239">
        <f>D309+D311+D313+D315</f>
        <v>5387.000000000001</v>
      </c>
      <c r="E308" s="239">
        <f aca="true" t="shared" si="157" ref="E308:F308">E309+E311+E313+E315</f>
        <v>4263.9</v>
      </c>
      <c r="F308" s="239">
        <f t="shared" si="157"/>
        <v>4263.9</v>
      </c>
    </row>
    <row r="309" spans="1:6" ht="66">
      <c r="A309" s="84" t="s">
        <v>271</v>
      </c>
      <c r="B309" s="240" t="s">
        <v>93</v>
      </c>
      <c r="C309" s="241" t="s">
        <v>194</v>
      </c>
      <c r="D309" s="85">
        <f>D310</f>
        <v>1524.6</v>
      </c>
      <c r="E309" s="85">
        <f aca="true" t="shared" si="158" ref="E309:F309">E310</f>
        <v>1435.1</v>
      </c>
      <c r="F309" s="85">
        <f t="shared" si="158"/>
        <v>1435.1</v>
      </c>
    </row>
    <row r="310" spans="1:6" ht="49.5">
      <c r="A310" s="84" t="s">
        <v>271</v>
      </c>
      <c r="B310" s="84" t="s">
        <v>58</v>
      </c>
      <c r="C310" s="68" t="s">
        <v>542</v>
      </c>
      <c r="D310" s="85">
        <f>'№4'!F356</f>
        <v>1524.6</v>
      </c>
      <c r="E310" s="85">
        <f>'№4'!G356</f>
        <v>1435.1</v>
      </c>
      <c r="F310" s="85">
        <f>'№4'!H356</f>
        <v>1435.1</v>
      </c>
    </row>
    <row r="311" spans="1:6" ht="33">
      <c r="A311" s="84" t="s">
        <v>267</v>
      </c>
      <c r="B311" s="240" t="s">
        <v>93</v>
      </c>
      <c r="C311" s="241" t="s">
        <v>148</v>
      </c>
      <c r="D311" s="85">
        <f>D312</f>
        <v>2695.1000000000004</v>
      </c>
      <c r="E311" s="85">
        <f aca="true" t="shared" si="159" ref="E311:F311">E312</f>
        <v>2120.8</v>
      </c>
      <c r="F311" s="85">
        <f t="shared" si="159"/>
        <v>2120.8</v>
      </c>
    </row>
    <row r="312" spans="1:6" ht="49.5">
      <c r="A312" s="84" t="s">
        <v>267</v>
      </c>
      <c r="B312" s="84" t="s">
        <v>58</v>
      </c>
      <c r="C312" s="68" t="s">
        <v>542</v>
      </c>
      <c r="D312" s="85">
        <f>'№4'!F335</f>
        <v>2695.1000000000004</v>
      </c>
      <c r="E312" s="85">
        <f>'№4'!G335</f>
        <v>2120.8</v>
      </c>
      <c r="F312" s="85">
        <f>'№4'!H335</f>
        <v>2120.8</v>
      </c>
    </row>
    <row r="313" spans="1:6" ht="49.5">
      <c r="A313" s="84" t="s">
        <v>268</v>
      </c>
      <c r="B313" s="240" t="s">
        <v>93</v>
      </c>
      <c r="C313" s="241" t="s">
        <v>452</v>
      </c>
      <c r="D313" s="85">
        <f>D314</f>
        <v>208</v>
      </c>
      <c r="E313" s="85">
        <f aca="true" t="shared" si="160" ref="E313:F313">E314</f>
        <v>208</v>
      </c>
      <c r="F313" s="85">
        <f t="shared" si="160"/>
        <v>208</v>
      </c>
    </row>
    <row r="314" spans="1:6" ht="49.5">
      <c r="A314" s="84" t="s">
        <v>268</v>
      </c>
      <c r="B314" s="84" t="s">
        <v>58</v>
      </c>
      <c r="C314" s="68" t="s">
        <v>542</v>
      </c>
      <c r="D314" s="85">
        <f>'№4'!F337</f>
        <v>208</v>
      </c>
      <c r="E314" s="85">
        <f>'№4'!G337</f>
        <v>208</v>
      </c>
      <c r="F314" s="85">
        <f>'№4'!H337</f>
        <v>208</v>
      </c>
    </row>
    <row r="315" spans="1:6" ht="33">
      <c r="A315" s="84" t="s">
        <v>270</v>
      </c>
      <c r="B315" s="240" t="s">
        <v>93</v>
      </c>
      <c r="C315" s="241" t="s">
        <v>149</v>
      </c>
      <c r="D315" s="85">
        <f>D316</f>
        <v>959.3</v>
      </c>
      <c r="E315" s="85">
        <f aca="true" t="shared" si="161" ref="E315:F315">E316</f>
        <v>500</v>
      </c>
      <c r="F315" s="85">
        <f t="shared" si="161"/>
        <v>500</v>
      </c>
    </row>
    <row r="316" spans="1:6" ht="49.5">
      <c r="A316" s="84" t="s">
        <v>270</v>
      </c>
      <c r="B316" s="84" t="s">
        <v>58</v>
      </c>
      <c r="C316" s="68" t="s">
        <v>542</v>
      </c>
      <c r="D316" s="85">
        <f>'№4'!F349</f>
        <v>959.3</v>
      </c>
      <c r="E316" s="85">
        <f>'№4'!G349</f>
        <v>500</v>
      </c>
      <c r="F316" s="85">
        <f>'№4'!H349</f>
        <v>500</v>
      </c>
    </row>
    <row r="317" spans="1:6" ht="12.75">
      <c r="A317" s="237" t="s">
        <v>269</v>
      </c>
      <c r="B317" s="237" t="s">
        <v>93</v>
      </c>
      <c r="C317" s="238" t="s">
        <v>2</v>
      </c>
      <c r="D317" s="239">
        <f>D318</f>
        <v>5836.2</v>
      </c>
      <c r="E317" s="239">
        <f aca="true" t="shared" si="162" ref="E317:F318">E318</f>
        <v>5773.5</v>
      </c>
      <c r="F317" s="239">
        <f t="shared" si="162"/>
        <v>5773.5</v>
      </c>
    </row>
    <row r="318" spans="1:6" ht="82.5">
      <c r="A318" s="84" t="s">
        <v>266</v>
      </c>
      <c r="B318" s="240" t="s">
        <v>93</v>
      </c>
      <c r="C318" s="241" t="s">
        <v>343</v>
      </c>
      <c r="D318" s="85">
        <f>D319</f>
        <v>5836.2</v>
      </c>
      <c r="E318" s="85">
        <f t="shared" si="162"/>
        <v>5773.5</v>
      </c>
      <c r="F318" s="85">
        <f t="shared" si="162"/>
        <v>5773.5</v>
      </c>
    </row>
    <row r="319" spans="1:6" ht="41.25" customHeight="1">
      <c r="A319" s="84" t="s">
        <v>266</v>
      </c>
      <c r="B319" s="84" t="s">
        <v>58</v>
      </c>
      <c r="C319" s="68" t="s">
        <v>542</v>
      </c>
      <c r="D319" s="85">
        <f>'№4'!F341</f>
        <v>5836.2</v>
      </c>
      <c r="E319" s="85">
        <f>'№4'!G341</f>
        <v>5773.5</v>
      </c>
      <c r="F319" s="85">
        <f>'№4'!H341</f>
        <v>5773.5</v>
      </c>
    </row>
    <row r="320" spans="1:6" ht="57" customHeight="1">
      <c r="A320" s="237" t="s">
        <v>256</v>
      </c>
      <c r="B320" s="237" t="s">
        <v>93</v>
      </c>
      <c r="C320" s="238" t="s">
        <v>426</v>
      </c>
      <c r="D320" s="239">
        <f>D321+D324+D327+D330</f>
        <v>11188</v>
      </c>
      <c r="E320" s="239">
        <f aca="true" t="shared" si="163" ref="E320:F320">E321+E324+E327+E330</f>
        <v>10922.6</v>
      </c>
      <c r="F320" s="239">
        <f t="shared" si="163"/>
        <v>10708.5</v>
      </c>
    </row>
    <row r="321" spans="1:6" ht="33">
      <c r="A321" s="237" t="s">
        <v>260</v>
      </c>
      <c r="B321" s="237" t="s">
        <v>93</v>
      </c>
      <c r="C321" s="238" t="s">
        <v>431</v>
      </c>
      <c r="D321" s="239">
        <f>D322</f>
        <v>1114.7</v>
      </c>
      <c r="E321" s="239">
        <f aca="true" t="shared" si="164" ref="E321:F322">E322</f>
        <v>1133.8</v>
      </c>
      <c r="F321" s="239">
        <f t="shared" si="164"/>
        <v>1156</v>
      </c>
    </row>
    <row r="322" spans="1:6" ht="66">
      <c r="A322" s="84" t="s">
        <v>261</v>
      </c>
      <c r="B322" s="240" t="s">
        <v>93</v>
      </c>
      <c r="C322" s="241" t="s">
        <v>190</v>
      </c>
      <c r="D322" s="85">
        <f>D323</f>
        <v>1114.7</v>
      </c>
      <c r="E322" s="85">
        <f t="shared" si="164"/>
        <v>1133.8</v>
      </c>
      <c r="F322" s="85">
        <f t="shared" si="164"/>
        <v>1156</v>
      </c>
    </row>
    <row r="323" spans="1:6" ht="33">
      <c r="A323" s="84" t="s">
        <v>261</v>
      </c>
      <c r="B323" s="84" t="s">
        <v>60</v>
      </c>
      <c r="C323" s="68" t="s">
        <v>596</v>
      </c>
      <c r="D323" s="85">
        <f>'№4'!F317</f>
        <v>1114.7</v>
      </c>
      <c r="E323" s="85">
        <f>'№4'!G317</f>
        <v>1133.8</v>
      </c>
      <c r="F323" s="85">
        <f>'№4'!H317</f>
        <v>1156</v>
      </c>
    </row>
    <row r="324" spans="1:6" ht="66">
      <c r="A324" s="237" t="s">
        <v>440</v>
      </c>
      <c r="B324" s="237" t="s">
        <v>93</v>
      </c>
      <c r="C324" s="238" t="s">
        <v>441</v>
      </c>
      <c r="D324" s="239">
        <f>D325</f>
        <v>525.5</v>
      </c>
      <c r="E324" s="239">
        <f aca="true" t="shared" si="165" ref="E324:F325">E325</f>
        <v>237.3</v>
      </c>
      <c r="F324" s="239">
        <f t="shared" si="165"/>
        <v>0</v>
      </c>
    </row>
    <row r="325" spans="1:6" ht="12.75">
      <c r="A325" s="84" t="s">
        <v>444</v>
      </c>
      <c r="B325" s="240" t="s">
        <v>93</v>
      </c>
      <c r="C325" s="241" t="s">
        <v>445</v>
      </c>
      <c r="D325" s="85">
        <f>D326</f>
        <v>525.5</v>
      </c>
      <c r="E325" s="85">
        <f t="shared" si="165"/>
        <v>237.3</v>
      </c>
      <c r="F325" s="85">
        <f t="shared" si="165"/>
        <v>0</v>
      </c>
    </row>
    <row r="326" spans="1:6" ht="33">
      <c r="A326" s="84" t="s">
        <v>444</v>
      </c>
      <c r="B326" s="84" t="s">
        <v>60</v>
      </c>
      <c r="C326" s="68" t="s">
        <v>596</v>
      </c>
      <c r="D326" s="85">
        <f>'№4'!F327</f>
        <v>525.5</v>
      </c>
      <c r="E326" s="85">
        <f>'№4'!G327</f>
        <v>237.3</v>
      </c>
      <c r="F326" s="85">
        <f>'№4'!H327</f>
        <v>0</v>
      </c>
    </row>
    <row r="327" spans="1:6" ht="33">
      <c r="A327" s="237" t="s">
        <v>262</v>
      </c>
      <c r="B327" s="237" t="s">
        <v>93</v>
      </c>
      <c r="C327" s="238" t="s">
        <v>130</v>
      </c>
      <c r="D327" s="239">
        <f>D328</f>
        <v>26.3</v>
      </c>
      <c r="E327" s="239">
        <f aca="true" t="shared" si="166" ref="E327:F328">E328</f>
        <v>30</v>
      </c>
      <c r="F327" s="239">
        <f t="shared" si="166"/>
        <v>31</v>
      </c>
    </row>
    <row r="328" spans="1:6" ht="52.9" customHeight="1">
      <c r="A328" s="84" t="s">
        <v>263</v>
      </c>
      <c r="B328" s="240" t="s">
        <v>93</v>
      </c>
      <c r="C328" s="241" t="s">
        <v>131</v>
      </c>
      <c r="D328" s="85">
        <f>D329</f>
        <v>26.3</v>
      </c>
      <c r="E328" s="85">
        <f t="shared" si="166"/>
        <v>30</v>
      </c>
      <c r="F328" s="85">
        <f t="shared" si="166"/>
        <v>31</v>
      </c>
    </row>
    <row r="329" spans="1:6" ht="33">
      <c r="A329" s="84" t="s">
        <v>263</v>
      </c>
      <c r="B329" s="84" t="s">
        <v>60</v>
      </c>
      <c r="C329" s="68" t="s">
        <v>596</v>
      </c>
      <c r="D329" s="85">
        <f>'№4'!F320</f>
        <v>26.3</v>
      </c>
      <c r="E329" s="85">
        <f>'№4'!G320</f>
        <v>30</v>
      </c>
      <c r="F329" s="85">
        <f>'№4'!H320</f>
        <v>31</v>
      </c>
    </row>
    <row r="330" spans="1:6" ht="12.75">
      <c r="A330" s="237" t="s">
        <v>257</v>
      </c>
      <c r="B330" s="237" t="s">
        <v>93</v>
      </c>
      <c r="C330" s="238" t="s">
        <v>2</v>
      </c>
      <c r="D330" s="239">
        <f>D331</f>
        <v>9521.5</v>
      </c>
      <c r="E330" s="239">
        <f aca="true" t="shared" si="167" ref="E330:F331">E331</f>
        <v>9521.5</v>
      </c>
      <c r="F330" s="239">
        <f t="shared" si="167"/>
        <v>9521.5</v>
      </c>
    </row>
    <row r="331" spans="1:6" ht="82.5">
      <c r="A331" s="84" t="s">
        <v>258</v>
      </c>
      <c r="B331" s="240" t="s">
        <v>93</v>
      </c>
      <c r="C331" s="241" t="s">
        <v>343</v>
      </c>
      <c r="D331" s="85">
        <f>D332</f>
        <v>9521.5</v>
      </c>
      <c r="E331" s="85">
        <f t="shared" si="167"/>
        <v>9521.5</v>
      </c>
      <c r="F331" s="85">
        <f t="shared" si="167"/>
        <v>9521.5</v>
      </c>
    </row>
    <row r="332" spans="1:6" ht="33">
      <c r="A332" s="84" t="s">
        <v>258</v>
      </c>
      <c r="B332" s="84" t="s">
        <v>60</v>
      </c>
      <c r="C332" s="68" t="s">
        <v>596</v>
      </c>
      <c r="D332" s="85">
        <f>'№4'!F303</f>
        <v>9521.5</v>
      </c>
      <c r="E332" s="85">
        <f>'№4'!G303</f>
        <v>9521.5</v>
      </c>
      <c r="F332" s="85">
        <f>'№4'!H303</f>
        <v>9521.5</v>
      </c>
    </row>
    <row r="333" spans="1:6" ht="33">
      <c r="A333" s="237" t="s">
        <v>312</v>
      </c>
      <c r="B333" s="237" t="s">
        <v>93</v>
      </c>
      <c r="C333" s="238" t="s">
        <v>429</v>
      </c>
      <c r="D333" s="239">
        <f>D334+D338+D350+D345</f>
        <v>7919.7</v>
      </c>
      <c r="E333" s="239">
        <f>E334+E338+E350+E345</f>
        <v>4605.3</v>
      </c>
      <c r="F333" s="239">
        <f>F334+F338+F350+F345</f>
        <v>4605.3</v>
      </c>
    </row>
    <row r="334" spans="1:6" ht="12.75">
      <c r="A334" s="237" t="s">
        <v>430</v>
      </c>
      <c r="B334" s="237" t="s">
        <v>93</v>
      </c>
      <c r="C334" s="238" t="s">
        <v>13</v>
      </c>
      <c r="D334" s="239">
        <f>D335</f>
        <v>2000</v>
      </c>
      <c r="E334" s="239">
        <f aca="true" t="shared" si="168" ref="E334:F335">E335</f>
        <v>500</v>
      </c>
      <c r="F334" s="239">
        <f t="shared" si="168"/>
        <v>500</v>
      </c>
    </row>
    <row r="335" spans="1:6" ht="33">
      <c r="A335" s="84" t="s">
        <v>259</v>
      </c>
      <c r="B335" s="240" t="s">
        <v>93</v>
      </c>
      <c r="C335" s="241" t="s">
        <v>132</v>
      </c>
      <c r="D335" s="85">
        <f>D336+D337</f>
        <v>2000</v>
      </c>
      <c r="E335" s="85">
        <f t="shared" si="168"/>
        <v>500</v>
      </c>
      <c r="F335" s="85">
        <f t="shared" si="168"/>
        <v>500</v>
      </c>
    </row>
    <row r="336" spans="1:6" ht="33">
      <c r="A336" s="84" t="s">
        <v>259</v>
      </c>
      <c r="B336" s="84" t="s">
        <v>60</v>
      </c>
      <c r="C336" s="68" t="s">
        <v>596</v>
      </c>
      <c r="D336" s="85">
        <f>'№4'!F309</f>
        <v>1401.2</v>
      </c>
      <c r="E336" s="85">
        <f>'№4'!G309</f>
        <v>500</v>
      </c>
      <c r="F336" s="85">
        <f>'№4'!H309</f>
        <v>500</v>
      </c>
    </row>
    <row r="337" spans="1:6" ht="33">
      <c r="A337" s="84" t="s">
        <v>259</v>
      </c>
      <c r="B337" s="84" t="s">
        <v>25</v>
      </c>
      <c r="C337" s="241" t="s">
        <v>112</v>
      </c>
      <c r="D337" s="85">
        <f>'№4'!F92+'№4'!F190</f>
        <v>598.8</v>
      </c>
      <c r="E337" s="85">
        <f>'№4'!G92+'№4'!G190</f>
        <v>0</v>
      </c>
      <c r="F337" s="85">
        <f>'№4'!H92+'№4'!H190</f>
        <v>0</v>
      </c>
    </row>
    <row r="338" spans="1:6" ht="49.5">
      <c r="A338" s="237" t="s">
        <v>436</v>
      </c>
      <c r="B338" s="237" t="s">
        <v>93</v>
      </c>
      <c r="C338" s="238" t="s">
        <v>437</v>
      </c>
      <c r="D338" s="239">
        <f>D343+D339+D341</f>
        <v>910.1</v>
      </c>
      <c r="E338" s="239">
        <f aca="true" t="shared" si="169" ref="E338:F338">E343+E339+E341</f>
        <v>0</v>
      </c>
      <c r="F338" s="239">
        <f t="shared" si="169"/>
        <v>0</v>
      </c>
    </row>
    <row r="339" spans="1:6" ht="12.75">
      <c r="A339" s="31" t="s">
        <v>507</v>
      </c>
      <c r="B339" s="180"/>
      <c r="C339" s="5" t="s">
        <v>508</v>
      </c>
      <c r="D339" s="85">
        <f>D340</f>
        <v>130.1</v>
      </c>
      <c r="E339" s="85">
        <f aca="true" t="shared" si="170" ref="E339:F339">E340</f>
        <v>0</v>
      </c>
      <c r="F339" s="85">
        <f t="shared" si="170"/>
        <v>0</v>
      </c>
    </row>
    <row r="340" spans="1:6" ht="33">
      <c r="A340" s="31" t="s">
        <v>507</v>
      </c>
      <c r="B340" s="84" t="s">
        <v>25</v>
      </c>
      <c r="C340" s="241" t="s">
        <v>112</v>
      </c>
      <c r="D340" s="85">
        <f>'№4'!F72</f>
        <v>130.1</v>
      </c>
      <c r="E340" s="85">
        <f>'№4'!G72</f>
        <v>0</v>
      </c>
      <c r="F340" s="85">
        <f>'№4'!H72</f>
        <v>0</v>
      </c>
    </row>
    <row r="341" spans="1:6" ht="39" customHeight="1">
      <c r="A341" s="67" t="s">
        <v>562</v>
      </c>
      <c r="B341" s="67"/>
      <c r="C341" s="68" t="s">
        <v>563</v>
      </c>
      <c r="D341" s="85">
        <f>D342</f>
        <v>280</v>
      </c>
      <c r="E341" s="85">
        <f aca="true" t="shared" si="171" ref="E341:F341">E342</f>
        <v>0</v>
      </c>
      <c r="F341" s="85">
        <f t="shared" si="171"/>
        <v>0</v>
      </c>
    </row>
    <row r="342" spans="1:6" ht="33">
      <c r="A342" s="67" t="s">
        <v>562</v>
      </c>
      <c r="B342" s="84" t="s">
        <v>25</v>
      </c>
      <c r="C342" s="241" t="s">
        <v>112</v>
      </c>
      <c r="D342" s="85">
        <f>'№4'!F33</f>
        <v>280</v>
      </c>
      <c r="E342" s="85">
        <f>'№4'!G33</f>
        <v>0</v>
      </c>
      <c r="F342" s="85">
        <f>'№4'!H33</f>
        <v>0</v>
      </c>
    </row>
    <row r="343" spans="1:6" ht="49.5">
      <c r="A343" s="84" t="s">
        <v>438</v>
      </c>
      <c r="B343" s="240" t="s">
        <v>93</v>
      </c>
      <c r="C343" s="241" t="s">
        <v>439</v>
      </c>
      <c r="D343" s="85">
        <f>D344</f>
        <v>500</v>
      </c>
      <c r="E343" s="85">
        <f aca="true" t="shared" si="172" ref="E343:F343">E344</f>
        <v>0</v>
      </c>
      <c r="F343" s="85">
        <f t="shared" si="172"/>
        <v>0</v>
      </c>
    </row>
    <row r="344" spans="1:6" ht="33">
      <c r="A344" s="84" t="s">
        <v>438</v>
      </c>
      <c r="B344" s="84" t="s">
        <v>25</v>
      </c>
      <c r="C344" s="241" t="s">
        <v>112</v>
      </c>
      <c r="D344" s="85">
        <f>'№4'!F194</f>
        <v>500</v>
      </c>
      <c r="E344" s="85">
        <f>'№4'!G194</f>
        <v>0</v>
      </c>
      <c r="F344" s="85">
        <f>'№4'!H194</f>
        <v>0</v>
      </c>
    </row>
    <row r="345" spans="1:6" ht="49.5">
      <c r="A345" s="90" t="s">
        <v>628</v>
      </c>
      <c r="B345" s="4"/>
      <c r="C345" s="91" t="s">
        <v>625</v>
      </c>
      <c r="D345" s="239">
        <f>D346</f>
        <v>950</v>
      </c>
      <c r="E345" s="239">
        <f aca="true" t="shared" si="173" ref="E345:F345">E346</f>
        <v>0</v>
      </c>
      <c r="F345" s="239">
        <f t="shared" si="173"/>
        <v>0</v>
      </c>
    </row>
    <row r="346" spans="1:6" ht="49.5">
      <c r="A346" s="31" t="s">
        <v>626</v>
      </c>
      <c r="B346" s="87"/>
      <c r="C346" s="5" t="s">
        <v>627</v>
      </c>
      <c r="D346" s="85">
        <f>D347+D348+D349</f>
        <v>950</v>
      </c>
      <c r="E346" s="85">
        <f aca="true" t="shared" si="174" ref="E346:F346">E347+E348+E349</f>
        <v>0</v>
      </c>
      <c r="F346" s="85">
        <f t="shared" si="174"/>
        <v>0</v>
      </c>
    </row>
    <row r="347" spans="1:6" ht="33">
      <c r="A347" s="31" t="s">
        <v>626</v>
      </c>
      <c r="B347" s="84" t="s">
        <v>25</v>
      </c>
      <c r="C347" s="241" t="s">
        <v>112</v>
      </c>
      <c r="D347" s="85">
        <f>'№4'!F258</f>
        <v>569.6</v>
      </c>
      <c r="E347" s="85">
        <f>'№4'!G258</f>
        <v>0</v>
      </c>
      <c r="F347" s="85">
        <f>'№4'!H258</f>
        <v>0</v>
      </c>
    </row>
    <row r="348" spans="1:6" ht="49.5">
      <c r="A348" s="31" t="s">
        <v>626</v>
      </c>
      <c r="B348" s="4" t="s">
        <v>7</v>
      </c>
      <c r="C348" s="5" t="s">
        <v>11</v>
      </c>
      <c r="D348" s="85">
        <f>'№4'!F408</f>
        <v>50</v>
      </c>
      <c r="E348" s="85">
        <f>'№4'!G408</f>
        <v>0</v>
      </c>
      <c r="F348" s="85">
        <f>'№4'!H408</f>
        <v>0</v>
      </c>
    </row>
    <row r="349" spans="1:6" ht="33">
      <c r="A349" s="31" t="s">
        <v>626</v>
      </c>
      <c r="B349" s="4" t="s">
        <v>14</v>
      </c>
      <c r="C349" s="21" t="s">
        <v>524</v>
      </c>
      <c r="D349" s="85">
        <f>'№4'!F489+'№4'!F522+'№4'!F542</f>
        <v>330.4</v>
      </c>
      <c r="E349" s="85">
        <f>'№4'!G489+'№4'!G522+'№4'!G542</f>
        <v>0</v>
      </c>
      <c r="F349" s="85">
        <f>'№4'!H489+'№4'!H522+'№4'!H542</f>
        <v>0</v>
      </c>
    </row>
    <row r="350" spans="1:6" ht="49.5">
      <c r="A350" s="237" t="s">
        <v>460</v>
      </c>
      <c r="B350" s="237" t="s">
        <v>93</v>
      </c>
      <c r="C350" s="238" t="s">
        <v>5</v>
      </c>
      <c r="D350" s="239">
        <f>D351+D353+D355</f>
        <v>4059.6</v>
      </c>
      <c r="E350" s="239">
        <f aca="true" t="shared" si="175" ref="E350:F350">E351+E353+E355</f>
        <v>4105.3</v>
      </c>
      <c r="F350" s="239">
        <f t="shared" si="175"/>
        <v>4105.3</v>
      </c>
    </row>
    <row r="351" spans="1:6" ht="12.75">
      <c r="A351" s="84" t="s">
        <v>273</v>
      </c>
      <c r="B351" s="240" t="s">
        <v>93</v>
      </c>
      <c r="C351" s="241" t="s">
        <v>461</v>
      </c>
      <c r="D351" s="85">
        <f>D352</f>
        <v>1292.5</v>
      </c>
      <c r="E351" s="85">
        <f aca="true" t="shared" si="176" ref="E351:F351">E352</f>
        <v>1208.6</v>
      </c>
      <c r="F351" s="85">
        <f t="shared" si="176"/>
        <v>1208.6</v>
      </c>
    </row>
    <row r="352" spans="1:6" ht="12.75">
      <c r="A352" s="84" t="s">
        <v>273</v>
      </c>
      <c r="B352" s="84" t="s">
        <v>19</v>
      </c>
      <c r="C352" s="241" t="s">
        <v>4</v>
      </c>
      <c r="D352" s="85">
        <f>'№4'!F371</f>
        <v>1292.5</v>
      </c>
      <c r="E352" s="85">
        <f>'№4'!G371</f>
        <v>1208.6</v>
      </c>
      <c r="F352" s="85">
        <f>'№4'!H371</f>
        <v>1208.6</v>
      </c>
    </row>
    <row r="353" spans="1:6" ht="49.5">
      <c r="A353" s="84" t="s">
        <v>274</v>
      </c>
      <c r="B353" s="240" t="s">
        <v>93</v>
      </c>
      <c r="C353" s="241" t="s">
        <v>462</v>
      </c>
      <c r="D353" s="85">
        <f>D354</f>
        <v>2767.1</v>
      </c>
      <c r="E353" s="85">
        <f aca="true" t="shared" si="177" ref="E353:F353">E354</f>
        <v>2438.1</v>
      </c>
      <c r="F353" s="85">
        <f t="shared" si="177"/>
        <v>2438.1</v>
      </c>
    </row>
    <row r="354" spans="1:6" ht="12.75">
      <c r="A354" s="84" t="s">
        <v>274</v>
      </c>
      <c r="B354" s="84" t="s">
        <v>19</v>
      </c>
      <c r="C354" s="241" t="s">
        <v>4</v>
      </c>
      <c r="D354" s="85">
        <f>'№4'!F372</f>
        <v>2767.1</v>
      </c>
      <c r="E354" s="85">
        <f>'№4'!G372</f>
        <v>2438.1</v>
      </c>
      <c r="F354" s="85">
        <f>'№4'!H372</f>
        <v>2438.1</v>
      </c>
    </row>
    <row r="355" spans="1:6" ht="12.75">
      <c r="A355" s="84" t="s">
        <v>275</v>
      </c>
      <c r="B355" s="240" t="s">
        <v>93</v>
      </c>
      <c r="C355" s="241" t="s">
        <v>463</v>
      </c>
      <c r="D355" s="85">
        <f>D356</f>
        <v>0</v>
      </c>
      <c r="E355" s="85">
        <f aca="true" t="shared" si="178" ref="E355:F355">E356</f>
        <v>458.6</v>
      </c>
      <c r="F355" s="85">
        <f t="shared" si="178"/>
        <v>458.6</v>
      </c>
    </row>
    <row r="356" spans="1:6" ht="16.5" customHeight="1">
      <c r="A356" s="84" t="s">
        <v>275</v>
      </c>
      <c r="B356" s="84" t="s">
        <v>19</v>
      </c>
      <c r="C356" s="241" t="s">
        <v>4</v>
      </c>
      <c r="D356" s="85">
        <f>'№4'!F377</f>
        <v>0</v>
      </c>
      <c r="E356" s="85">
        <f>'№4'!G377</f>
        <v>458.6</v>
      </c>
      <c r="F356" s="85">
        <f>'№4'!H377</f>
        <v>458.6</v>
      </c>
    </row>
  </sheetData>
  <mergeCells count="8">
    <mergeCell ref="A1:F1"/>
    <mergeCell ref="A2:F2"/>
    <mergeCell ref="A3:A5"/>
    <mergeCell ref="B3:B5"/>
    <mergeCell ref="C3:C5"/>
    <mergeCell ref="D3:F3"/>
    <mergeCell ref="D4:D5"/>
    <mergeCell ref="E4:F4"/>
  </mergeCells>
  <printOptions/>
  <pageMargins left="0.5905511811023623" right="0.1968503937007874" top="0.1968503937007874" bottom="0.1968503937007874" header="0.31496062992125984" footer="0.31496062992125984"/>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K73"/>
  <sheetViews>
    <sheetView workbookViewId="0" topLeftCell="A1">
      <selection activeCell="C13" sqref="C13"/>
    </sheetView>
  </sheetViews>
  <sheetFormatPr defaultColWidth="9.125" defaultRowHeight="12.75"/>
  <cols>
    <col min="1" max="1" width="15.75390625" style="35" customWidth="1"/>
    <col min="2" max="2" width="6.25390625" style="35" customWidth="1"/>
    <col min="3" max="3" width="64.25390625" style="36" customWidth="1"/>
    <col min="4" max="4" width="11.00390625" style="35" customWidth="1"/>
    <col min="5" max="5" width="11.00390625" style="36" customWidth="1"/>
    <col min="6" max="6" width="10.625" style="36" customWidth="1"/>
    <col min="7" max="16384" width="9.125" style="36" customWidth="1"/>
  </cols>
  <sheetData>
    <row r="1" spans="3:6" ht="12.75">
      <c r="C1" s="215" t="s">
        <v>532</v>
      </c>
      <c r="D1" s="215"/>
      <c r="E1" s="215"/>
      <c r="F1" s="215"/>
    </row>
    <row r="2" spans="3:6" ht="12.75">
      <c r="C2" s="215" t="s">
        <v>681</v>
      </c>
      <c r="D2" s="215"/>
      <c r="E2" s="215"/>
      <c r="F2" s="215"/>
    </row>
    <row r="3" spans="3:6" ht="12.75">
      <c r="C3" s="215" t="s">
        <v>1000</v>
      </c>
      <c r="D3" s="215"/>
      <c r="E3" s="215"/>
      <c r="F3" s="215"/>
    </row>
    <row r="4" spans="1:4" ht="15.6" customHeight="1">
      <c r="A4" s="216"/>
      <c r="B4" s="216"/>
      <c r="C4" s="216"/>
      <c r="D4" s="216"/>
    </row>
    <row r="5" spans="1:6" ht="76.9" customHeight="1">
      <c r="A5" s="217" t="s">
        <v>522</v>
      </c>
      <c r="B5" s="217"/>
      <c r="C5" s="217"/>
      <c r="D5" s="217"/>
      <c r="E5" s="217"/>
      <c r="F5" s="217"/>
    </row>
    <row r="6" spans="1:6" ht="20.25" customHeight="1">
      <c r="A6" s="218" t="s">
        <v>22</v>
      </c>
      <c r="B6" s="218" t="s">
        <v>21</v>
      </c>
      <c r="C6" s="218" t="s">
        <v>24</v>
      </c>
      <c r="D6" s="214" t="s">
        <v>311</v>
      </c>
      <c r="E6" s="214"/>
      <c r="F6" s="214"/>
    </row>
    <row r="7" spans="1:6" ht="18.75" customHeight="1">
      <c r="A7" s="218"/>
      <c r="B7" s="218"/>
      <c r="C7" s="218"/>
      <c r="D7" s="219" t="s">
        <v>318</v>
      </c>
      <c r="E7" s="214" t="s">
        <v>328</v>
      </c>
      <c r="F7" s="214"/>
    </row>
    <row r="8" spans="1:6" ht="17.25" customHeight="1">
      <c r="A8" s="218"/>
      <c r="B8" s="218"/>
      <c r="C8" s="218"/>
      <c r="D8" s="219"/>
      <c r="E8" s="180" t="s">
        <v>319</v>
      </c>
      <c r="F8" s="180" t="s">
        <v>320</v>
      </c>
    </row>
    <row r="9" spans="1:6" ht="12.75">
      <c r="A9" s="180">
        <v>1</v>
      </c>
      <c r="B9" s="180">
        <v>2</v>
      </c>
      <c r="C9" s="37">
        <v>3</v>
      </c>
      <c r="D9" s="38">
        <v>4</v>
      </c>
      <c r="E9" s="39">
        <v>5</v>
      </c>
      <c r="F9" s="39">
        <v>6</v>
      </c>
    </row>
    <row r="10" spans="1:11" ht="12.75">
      <c r="A10" s="180"/>
      <c r="B10" s="180"/>
      <c r="C10" s="40" t="s">
        <v>85</v>
      </c>
      <c r="D10" s="41">
        <f>D11+D13+D15+D17+D19+D21+D23+D25+D27+D30+D32+D36+D34+D40+D42+D44+D46+D48+D50+D52+D54+D57+D65+D68+D61+D63+D72</f>
        <v>376970.00000000006</v>
      </c>
      <c r="E10" s="41">
        <f aca="true" t="shared" si="0" ref="E10:F10">E11+E13+E15+E17+E19+E21+E23+E25+E27+E30+E32+E36+E34+E40+E42+E44+E46+E48+E50+E52+E54+E57+E65+E68+E61+E63+E72</f>
        <v>280825.99999999994</v>
      </c>
      <c r="F10" s="41">
        <f t="shared" si="0"/>
        <v>279755.1</v>
      </c>
      <c r="H10" s="95"/>
      <c r="I10" s="96"/>
      <c r="J10" s="42"/>
      <c r="K10" s="42"/>
    </row>
    <row r="11" spans="1:6" ht="87" customHeight="1">
      <c r="A11" s="4"/>
      <c r="B11" s="4"/>
      <c r="C11" s="43" t="s">
        <v>523</v>
      </c>
      <c r="D11" s="44">
        <f>D12</f>
        <v>93411.2</v>
      </c>
      <c r="E11" s="44">
        <f aca="true" t="shared" si="1" ref="E11:F11">E12</f>
        <v>86119</v>
      </c>
      <c r="F11" s="44">
        <f t="shared" si="1"/>
        <v>86119</v>
      </c>
    </row>
    <row r="12" spans="1:6" ht="33">
      <c r="A12" s="4" t="s">
        <v>297</v>
      </c>
      <c r="B12" s="4" t="s">
        <v>14</v>
      </c>
      <c r="C12" s="242" t="s">
        <v>524</v>
      </c>
      <c r="D12" s="45">
        <f>'№4'!F476</f>
        <v>93411.2</v>
      </c>
      <c r="E12" s="45">
        <f>'№4'!G476</f>
        <v>86119</v>
      </c>
      <c r="F12" s="45">
        <f>'№4'!H476</f>
        <v>86119</v>
      </c>
    </row>
    <row r="13" spans="1:6" ht="132">
      <c r="A13" s="46"/>
      <c r="B13" s="46"/>
      <c r="C13" s="43" t="s">
        <v>525</v>
      </c>
      <c r="D13" s="44">
        <f>D14</f>
        <v>176653</v>
      </c>
      <c r="E13" s="44">
        <f aca="true" t="shared" si="2" ref="E13:F13">E14</f>
        <v>176653</v>
      </c>
      <c r="F13" s="44">
        <f t="shared" si="2"/>
        <v>176653</v>
      </c>
    </row>
    <row r="14" spans="1:6" ht="33">
      <c r="A14" s="4" t="s">
        <v>303</v>
      </c>
      <c r="B14" s="4" t="s">
        <v>14</v>
      </c>
      <c r="C14" s="5" t="s">
        <v>524</v>
      </c>
      <c r="D14" s="45">
        <f>'№4'!F503</f>
        <v>176653</v>
      </c>
      <c r="E14" s="45">
        <f>'№4'!G503</f>
        <v>176653</v>
      </c>
      <c r="F14" s="45">
        <f>'№4'!H503</f>
        <v>176653</v>
      </c>
    </row>
    <row r="15" spans="1:6" s="47" customFormat="1" ht="137.25" customHeight="1">
      <c r="A15" s="46"/>
      <c r="B15" s="46"/>
      <c r="C15" s="43" t="s">
        <v>526</v>
      </c>
      <c r="D15" s="41">
        <f>D16</f>
        <v>9069.300000000001</v>
      </c>
      <c r="E15" s="41">
        <f aca="true" t="shared" si="3" ref="E15:F15">E16</f>
        <v>9069.300000000001</v>
      </c>
      <c r="F15" s="41">
        <f t="shared" si="3"/>
        <v>9069.300000000001</v>
      </c>
    </row>
    <row r="16" spans="1:6" s="47" customFormat="1" ht="37.15" customHeight="1">
      <c r="A16" s="4" t="s">
        <v>308</v>
      </c>
      <c r="B16" s="4" t="s">
        <v>14</v>
      </c>
      <c r="C16" s="242" t="s">
        <v>524</v>
      </c>
      <c r="D16" s="33">
        <f>'№4'!F575</f>
        <v>9069.300000000001</v>
      </c>
      <c r="E16" s="33">
        <f>'№4'!G575</f>
        <v>9069.300000000001</v>
      </c>
      <c r="F16" s="33">
        <f>'№4'!H575</f>
        <v>9069.300000000001</v>
      </c>
    </row>
    <row r="17" spans="1:6" s="47" customFormat="1" ht="66">
      <c r="A17" s="46"/>
      <c r="B17" s="46"/>
      <c r="C17" s="43" t="s">
        <v>527</v>
      </c>
      <c r="D17" s="41">
        <f>D18</f>
        <v>650</v>
      </c>
      <c r="E17" s="41">
        <f aca="true" t="shared" si="4" ref="E17:F17">E18</f>
        <v>650</v>
      </c>
      <c r="F17" s="41">
        <f t="shared" si="4"/>
        <v>650</v>
      </c>
    </row>
    <row r="18" spans="1:6" s="47" customFormat="1" ht="12.75">
      <c r="A18" s="4" t="s">
        <v>205</v>
      </c>
      <c r="B18" s="4" t="s">
        <v>25</v>
      </c>
      <c r="C18" s="21" t="s">
        <v>112</v>
      </c>
      <c r="D18" s="33">
        <f>'№4'!F20</f>
        <v>650</v>
      </c>
      <c r="E18" s="33">
        <f>'№4'!G20</f>
        <v>650</v>
      </c>
      <c r="F18" s="33">
        <f>'№4'!H20</f>
        <v>650</v>
      </c>
    </row>
    <row r="19" spans="1:6" s="47" customFormat="1" ht="142.9" customHeight="1">
      <c r="A19" s="4"/>
      <c r="B19" s="4"/>
      <c r="C19" s="43" t="s">
        <v>528</v>
      </c>
      <c r="D19" s="41">
        <f>D20</f>
        <v>395.8</v>
      </c>
      <c r="E19" s="41">
        <f aca="true" t="shared" si="5" ref="E19:F19">E20</f>
        <v>395.8</v>
      </c>
      <c r="F19" s="41">
        <f t="shared" si="5"/>
        <v>395.8</v>
      </c>
    </row>
    <row r="20" spans="1:6" s="47" customFormat="1" ht="28.15" customHeight="1">
      <c r="A20" s="48" t="s">
        <v>221</v>
      </c>
      <c r="B20" s="4" t="s">
        <v>25</v>
      </c>
      <c r="C20" s="21" t="s">
        <v>112</v>
      </c>
      <c r="D20" s="33">
        <f>'№4'!F99</f>
        <v>395.8</v>
      </c>
      <c r="E20" s="33">
        <f>'№4'!G99</f>
        <v>395.8</v>
      </c>
      <c r="F20" s="33">
        <f>'№4'!H99</f>
        <v>395.8</v>
      </c>
    </row>
    <row r="21" spans="1:6" s="47" customFormat="1" ht="49.5">
      <c r="A21" s="46"/>
      <c r="B21" s="46"/>
      <c r="C21" s="43" t="s">
        <v>529</v>
      </c>
      <c r="D21" s="41">
        <f>D22</f>
        <v>1393.5</v>
      </c>
      <c r="E21" s="41">
        <f aca="true" t="shared" si="6" ref="E21:F21">E22</f>
        <v>1251.3000000000002</v>
      </c>
      <c r="F21" s="41">
        <f t="shared" si="6"/>
        <v>1251</v>
      </c>
    </row>
    <row r="22" spans="1:6" s="47" customFormat="1" ht="27.6" customHeight="1">
      <c r="A22" s="48" t="s">
        <v>216</v>
      </c>
      <c r="B22" s="4" t="s">
        <v>25</v>
      </c>
      <c r="C22" s="5" t="s">
        <v>112</v>
      </c>
      <c r="D22" s="33">
        <f>'№4'!F80</f>
        <v>1393.5</v>
      </c>
      <c r="E22" s="33">
        <f>'№4'!G80</f>
        <v>1251.3000000000002</v>
      </c>
      <c r="F22" s="33">
        <f>'№4'!H80</f>
        <v>1251</v>
      </c>
    </row>
    <row r="23" spans="1:6" s="47" customFormat="1" ht="89.45" customHeight="1">
      <c r="A23" s="46"/>
      <c r="B23" s="46"/>
      <c r="C23" s="43" t="s">
        <v>530</v>
      </c>
      <c r="D23" s="41">
        <f>D24</f>
        <v>264</v>
      </c>
      <c r="E23" s="41">
        <f aca="true" t="shared" si="7" ref="E23:F23">E24</f>
        <v>264</v>
      </c>
      <c r="F23" s="41">
        <f t="shared" si="7"/>
        <v>264</v>
      </c>
    </row>
    <row r="24" spans="1:6" s="47" customFormat="1" ht="20.45" customHeight="1">
      <c r="A24" s="48" t="s">
        <v>215</v>
      </c>
      <c r="B24" s="4" t="s">
        <v>25</v>
      </c>
      <c r="C24" s="5" t="s">
        <v>112</v>
      </c>
      <c r="D24" s="33">
        <f>'№4'!F62</f>
        <v>264</v>
      </c>
      <c r="E24" s="33">
        <f>'№4'!G62</f>
        <v>264</v>
      </c>
      <c r="F24" s="33">
        <f>'№4'!H62</f>
        <v>264</v>
      </c>
    </row>
    <row r="25" spans="1:6" ht="99">
      <c r="A25" s="4"/>
      <c r="B25" s="4"/>
      <c r="C25" s="3" t="s">
        <v>531</v>
      </c>
      <c r="D25" s="41">
        <f>D26</f>
        <v>5353</v>
      </c>
      <c r="E25" s="41">
        <f>E26</f>
        <v>6423.599999999999</v>
      </c>
      <c r="F25" s="41">
        <f aca="true" t="shared" si="8" ref="F25">F26</f>
        <v>5353</v>
      </c>
    </row>
    <row r="26" spans="1:6" ht="39.6" customHeight="1">
      <c r="A26" s="4" t="s">
        <v>316</v>
      </c>
      <c r="B26" s="4" t="s">
        <v>58</v>
      </c>
      <c r="C26" s="242" t="s">
        <v>542</v>
      </c>
      <c r="D26" s="33">
        <f>'№4'!F364</f>
        <v>5353</v>
      </c>
      <c r="E26" s="33">
        <f>'№4'!G364</f>
        <v>6423.599999999999</v>
      </c>
      <c r="F26" s="33">
        <f>'№4'!H364</f>
        <v>5353</v>
      </c>
    </row>
    <row r="27" spans="1:6" ht="49.5">
      <c r="A27" s="31"/>
      <c r="B27" s="31"/>
      <c r="C27" s="3" t="s">
        <v>537</v>
      </c>
      <c r="D27" s="41">
        <f>D28+D29</f>
        <v>1477.9</v>
      </c>
      <c r="E27" s="41">
        <f aca="true" t="shared" si="9" ref="E27:F27">E28+E29</f>
        <v>0</v>
      </c>
      <c r="F27" s="41">
        <f t="shared" si="9"/>
        <v>0</v>
      </c>
    </row>
    <row r="28" spans="1:6" ht="12.75">
      <c r="A28" s="50" t="s">
        <v>533</v>
      </c>
      <c r="B28" s="4" t="s">
        <v>25</v>
      </c>
      <c r="C28" s="5" t="s">
        <v>112</v>
      </c>
      <c r="D28" s="31">
        <f>'№4'!F168</f>
        <v>677.9</v>
      </c>
      <c r="E28" s="49">
        <f>'№4'!G168</f>
        <v>0</v>
      </c>
      <c r="F28" s="49">
        <f>'№4'!H168</f>
        <v>0</v>
      </c>
    </row>
    <row r="29" spans="1:6" ht="12.75">
      <c r="A29" s="50" t="s">
        <v>539</v>
      </c>
      <c r="B29" s="4" t="s">
        <v>25</v>
      </c>
      <c r="C29" s="5" t="s">
        <v>112</v>
      </c>
      <c r="D29" s="49">
        <f>'№4'!F119</f>
        <v>800</v>
      </c>
      <c r="E29" s="49">
        <f>'№4'!G119</f>
        <v>0</v>
      </c>
      <c r="F29" s="49">
        <f>'№4'!H119</f>
        <v>0</v>
      </c>
    </row>
    <row r="30" spans="1:6" ht="49.5">
      <c r="A30" s="4"/>
      <c r="B30" s="4"/>
      <c r="C30" s="3" t="s">
        <v>541</v>
      </c>
      <c r="D30" s="46">
        <f>D31</f>
        <v>4212.5</v>
      </c>
      <c r="E30" s="56">
        <f aca="true" t="shared" si="10" ref="E30:F30">E31</f>
        <v>0</v>
      </c>
      <c r="F30" s="56">
        <f t="shared" si="10"/>
        <v>0</v>
      </c>
    </row>
    <row r="31" spans="1:6" ht="33">
      <c r="A31" s="6" t="s">
        <v>574</v>
      </c>
      <c r="B31" s="4" t="s">
        <v>14</v>
      </c>
      <c r="C31" s="5" t="s">
        <v>524</v>
      </c>
      <c r="D31" s="31">
        <f>'№4'!F497</f>
        <v>4212.5</v>
      </c>
      <c r="E31" s="49">
        <f>'№4'!G497</f>
        <v>0</v>
      </c>
      <c r="F31" s="49">
        <f>'№4'!H497</f>
        <v>0</v>
      </c>
    </row>
    <row r="32" spans="1:6" ht="115.5">
      <c r="A32" s="31"/>
      <c r="B32" s="31"/>
      <c r="C32" s="3" t="s">
        <v>578</v>
      </c>
      <c r="D32" s="56">
        <f>D33</f>
        <v>2.6</v>
      </c>
      <c r="E32" s="56">
        <f aca="true" t="shared" si="11" ref="E32:F32">E33</f>
        <v>0</v>
      </c>
      <c r="F32" s="56">
        <f t="shared" si="11"/>
        <v>0</v>
      </c>
    </row>
    <row r="33" spans="1:6" ht="12.75">
      <c r="A33" s="6" t="s">
        <v>576</v>
      </c>
      <c r="B33" s="4" t="s">
        <v>25</v>
      </c>
      <c r="C33" s="5" t="s">
        <v>112</v>
      </c>
      <c r="D33" s="31">
        <f>'№4'!F66</f>
        <v>2.6</v>
      </c>
      <c r="E33" s="49">
        <f>'№4'!G66</f>
        <v>0</v>
      </c>
      <c r="F33" s="49">
        <f>'№4'!H66</f>
        <v>0</v>
      </c>
    </row>
    <row r="34" spans="1:6" ht="51" customHeight="1">
      <c r="A34" s="31"/>
      <c r="B34" s="31"/>
      <c r="C34" s="3" t="s">
        <v>580</v>
      </c>
      <c r="D34" s="56">
        <f>D35</f>
        <v>5153.9</v>
      </c>
      <c r="E34" s="56">
        <f aca="true" t="shared" si="12" ref="E34:F34">E35</f>
        <v>0</v>
      </c>
      <c r="F34" s="56">
        <f t="shared" si="12"/>
        <v>0</v>
      </c>
    </row>
    <row r="35" spans="1:6" ht="33">
      <c r="A35" s="4" t="s">
        <v>579</v>
      </c>
      <c r="B35" s="4" t="s">
        <v>14</v>
      </c>
      <c r="C35" s="5" t="s">
        <v>524</v>
      </c>
      <c r="D35" s="49">
        <f>'№4'!F500</f>
        <v>5153.9</v>
      </c>
      <c r="E35" s="49">
        <f>'№4'!G500</f>
        <v>0</v>
      </c>
      <c r="F35" s="49">
        <f>'№4'!H500</f>
        <v>0</v>
      </c>
    </row>
    <row r="36" spans="1:6" ht="33">
      <c r="A36" s="4"/>
      <c r="B36" s="4"/>
      <c r="C36" s="3" t="s">
        <v>540</v>
      </c>
      <c r="D36" s="46">
        <f>D37+D38+D39</f>
        <v>3065.9</v>
      </c>
      <c r="E36" s="56">
        <f aca="true" t="shared" si="13" ref="E36:F36">E37+E38+E39</f>
        <v>0</v>
      </c>
      <c r="F36" s="56">
        <f t="shared" si="13"/>
        <v>0</v>
      </c>
    </row>
    <row r="37" spans="1:6" ht="33">
      <c r="A37" s="6" t="s">
        <v>582</v>
      </c>
      <c r="B37" s="4" t="s">
        <v>7</v>
      </c>
      <c r="C37" s="5" t="s">
        <v>11</v>
      </c>
      <c r="D37" s="31">
        <f>'№4'!F413</f>
        <v>236.1</v>
      </c>
      <c r="E37" s="49">
        <f>'№4'!G413</f>
        <v>0</v>
      </c>
      <c r="F37" s="49">
        <f>'№4'!H413</f>
        <v>0</v>
      </c>
    </row>
    <row r="38" spans="1:6" ht="33">
      <c r="A38" s="6" t="s">
        <v>583</v>
      </c>
      <c r="B38" s="4" t="s">
        <v>14</v>
      </c>
      <c r="C38" s="5" t="s">
        <v>524</v>
      </c>
      <c r="D38" s="31">
        <f>'№4'!F551</f>
        <v>53.400000000000006</v>
      </c>
      <c r="E38" s="49">
        <f>'№4'!G551</f>
        <v>0</v>
      </c>
      <c r="F38" s="49">
        <f>'№4'!H551</f>
        <v>0</v>
      </c>
    </row>
    <row r="39" spans="1:6" ht="33">
      <c r="A39" s="6" t="s">
        <v>582</v>
      </c>
      <c r="B39" s="4" t="s">
        <v>14</v>
      </c>
      <c r="C39" s="5" t="s">
        <v>524</v>
      </c>
      <c r="D39" s="31">
        <f>'№4'!F553</f>
        <v>2776.4</v>
      </c>
      <c r="E39" s="49">
        <f>'№4'!G553</f>
        <v>0</v>
      </c>
      <c r="F39" s="49">
        <f>'№4'!H553</f>
        <v>0</v>
      </c>
    </row>
    <row r="40" spans="1:6" ht="49.5">
      <c r="A40" s="4"/>
      <c r="B40" s="4"/>
      <c r="C40" s="3" t="s">
        <v>588</v>
      </c>
      <c r="D40" s="46">
        <f>D41</f>
        <v>485.9</v>
      </c>
      <c r="E40" s="56">
        <f aca="true" t="shared" si="14" ref="E40:F40">E41</f>
        <v>0</v>
      </c>
      <c r="F40" s="56">
        <f t="shared" si="14"/>
        <v>0</v>
      </c>
    </row>
    <row r="41" spans="1:6" ht="12.75">
      <c r="A41" s="6" t="s">
        <v>586</v>
      </c>
      <c r="B41" s="4" t="s">
        <v>25</v>
      </c>
      <c r="C41" s="5" t="s">
        <v>112</v>
      </c>
      <c r="D41" s="31">
        <f>'№4'!F290</f>
        <v>485.9</v>
      </c>
      <c r="E41" s="49">
        <f>'№4'!G290</f>
        <v>0</v>
      </c>
      <c r="F41" s="49">
        <f>'№4'!H290</f>
        <v>0</v>
      </c>
    </row>
    <row r="42" spans="1:6" ht="12.75">
      <c r="A42" s="31"/>
      <c r="B42" s="31"/>
      <c r="C42" s="3" t="s">
        <v>600</v>
      </c>
      <c r="D42" s="46">
        <f>D43</f>
        <v>1784.1</v>
      </c>
      <c r="E42" s="56">
        <f aca="true" t="shared" si="15" ref="E42:F42">E43</f>
        <v>0</v>
      </c>
      <c r="F42" s="56">
        <f t="shared" si="15"/>
        <v>0</v>
      </c>
    </row>
    <row r="43" spans="1:6" ht="33">
      <c r="A43" s="50" t="s">
        <v>589</v>
      </c>
      <c r="B43" s="4" t="s">
        <v>7</v>
      </c>
      <c r="C43" s="5" t="s">
        <v>11</v>
      </c>
      <c r="D43" s="31">
        <f>'№4'!F441</f>
        <v>1784.1</v>
      </c>
      <c r="E43" s="49">
        <f>'№4'!G441</f>
        <v>0</v>
      </c>
      <c r="F43" s="49">
        <f>'№4'!H441</f>
        <v>0</v>
      </c>
    </row>
    <row r="44" spans="1:6" ht="49.5">
      <c r="A44" s="31"/>
      <c r="B44" s="31"/>
      <c r="C44" s="3" t="s">
        <v>591</v>
      </c>
      <c r="D44" s="46">
        <f>D45</f>
        <v>21150.1</v>
      </c>
      <c r="E44" s="56">
        <f aca="true" t="shared" si="16" ref="E44:F44">E45</f>
        <v>0</v>
      </c>
      <c r="F44" s="56">
        <f t="shared" si="16"/>
        <v>0</v>
      </c>
    </row>
    <row r="45" spans="1:6" ht="12.75">
      <c r="A45" s="50" t="s">
        <v>593</v>
      </c>
      <c r="B45" s="4" t="s">
        <v>25</v>
      </c>
      <c r="C45" s="5" t="s">
        <v>112</v>
      </c>
      <c r="D45" s="31">
        <f>'№4'!F107</f>
        <v>21150.1</v>
      </c>
      <c r="E45" s="49">
        <f>'№4'!G107</f>
        <v>0</v>
      </c>
      <c r="F45" s="49">
        <f>'№4'!H107</f>
        <v>0</v>
      </c>
    </row>
    <row r="46" spans="1:6" ht="66">
      <c r="A46" s="31"/>
      <c r="B46" s="31"/>
      <c r="C46" s="3" t="s">
        <v>601</v>
      </c>
      <c r="D46" s="46">
        <f>D47</f>
        <v>36095.4</v>
      </c>
      <c r="E46" s="56">
        <f aca="true" t="shared" si="17" ref="E46:F46">E47</f>
        <v>0</v>
      </c>
      <c r="F46" s="56">
        <f t="shared" si="17"/>
        <v>0</v>
      </c>
    </row>
    <row r="47" spans="1:6" ht="12.75">
      <c r="A47" s="50" t="s">
        <v>592</v>
      </c>
      <c r="B47" s="4" t="s">
        <v>25</v>
      </c>
      <c r="C47" s="5" t="s">
        <v>112</v>
      </c>
      <c r="D47" s="31">
        <f>'№4'!F117</f>
        <v>36095.4</v>
      </c>
      <c r="E47" s="49">
        <f>'№4'!G117</f>
        <v>0</v>
      </c>
      <c r="F47" s="49">
        <f>'№4'!H117</f>
        <v>0</v>
      </c>
    </row>
    <row r="48" spans="1:6" ht="66">
      <c r="A48" s="31"/>
      <c r="B48" s="31"/>
      <c r="C48" s="3" t="s">
        <v>602</v>
      </c>
      <c r="D48" s="46">
        <f>D49</f>
        <v>2467.2</v>
      </c>
      <c r="E48" s="56">
        <f aca="true" t="shared" si="18" ref="E48:F48">E49</f>
        <v>0</v>
      </c>
      <c r="F48" s="56">
        <f t="shared" si="18"/>
        <v>0</v>
      </c>
    </row>
    <row r="49" spans="1:6" ht="33">
      <c r="A49" s="67" t="s">
        <v>603</v>
      </c>
      <c r="B49" s="4" t="s">
        <v>7</v>
      </c>
      <c r="C49" s="5" t="s">
        <v>11</v>
      </c>
      <c r="D49" s="31">
        <f>'№4'!F458</f>
        <v>2467.2</v>
      </c>
      <c r="E49" s="49">
        <f>'№4'!G458</f>
        <v>0</v>
      </c>
      <c r="F49" s="49">
        <f>'№4'!H458</f>
        <v>0</v>
      </c>
    </row>
    <row r="50" spans="1:6" ht="82.5">
      <c r="A50" s="31"/>
      <c r="B50" s="31"/>
      <c r="C50" s="3" t="s">
        <v>605</v>
      </c>
      <c r="D50" s="56">
        <f>D51</f>
        <v>205.9</v>
      </c>
      <c r="E50" s="56">
        <f aca="true" t="shared" si="19" ref="E50:F50">E51</f>
        <v>0</v>
      </c>
      <c r="F50" s="56">
        <f t="shared" si="19"/>
        <v>0</v>
      </c>
    </row>
    <row r="51" spans="1:6" ht="33">
      <c r="A51" s="67" t="s">
        <v>606</v>
      </c>
      <c r="B51" s="4" t="s">
        <v>14</v>
      </c>
      <c r="C51" s="5" t="s">
        <v>524</v>
      </c>
      <c r="D51" s="31">
        <f>'№4'!F502</f>
        <v>205.9</v>
      </c>
      <c r="E51" s="49">
        <f>'№4'!G502</f>
        <v>0</v>
      </c>
      <c r="F51" s="49">
        <f>'№4'!H502</f>
        <v>0</v>
      </c>
    </row>
    <row r="52" spans="1:6" ht="49.5">
      <c r="A52" s="31"/>
      <c r="B52" s="31"/>
      <c r="C52" s="3" t="s">
        <v>608</v>
      </c>
      <c r="D52" s="56">
        <f>D53</f>
        <v>2855.7</v>
      </c>
      <c r="E52" s="56">
        <f aca="true" t="shared" si="20" ref="E52:F52">E53</f>
        <v>0</v>
      </c>
      <c r="F52" s="56">
        <f t="shared" si="20"/>
        <v>0</v>
      </c>
    </row>
    <row r="53" spans="1:6" ht="33">
      <c r="A53" s="83" t="s">
        <v>607</v>
      </c>
      <c r="B53" s="4" t="s">
        <v>14</v>
      </c>
      <c r="C53" s="5" t="s">
        <v>524</v>
      </c>
      <c r="D53" s="31">
        <f>'№4'!F488</f>
        <v>2855.7</v>
      </c>
      <c r="E53" s="49">
        <f>'№4'!G488</f>
        <v>0</v>
      </c>
      <c r="F53" s="49">
        <f>'№4'!H488</f>
        <v>0</v>
      </c>
    </row>
    <row r="54" spans="1:6" ht="33">
      <c r="A54" s="31"/>
      <c r="B54" s="31"/>
      <c r="C54" s="3" t="s">
        <v>623</v>
      </c>
      <c r="D54" s="56">
        <f>D55+D56</f>
        <v>600</v>
      </c>
      <c r="E54" s="56">
        <f aca="true" t="shared" si="21" ref="E54:F54">E55+E56</f>
        <v>0</v>
      </c>
      <c r="F54" s="56">
        <f t="shared" si="21"/>
        <v>0</v>
      </c>
    </row>
    <row r="55" spans="1:6" ht="33">
      <c r="A55" s="67" t="s">
        <v>619</v>
      </c>
      <c r="B55" s="4" t="s">
        <v>7</v>
      </c>
      <c r="C55" s="5" t="s">
        <v>11</v>
      </c>
      <c r="D55" s="88">
        <f>'№4'!F392</f>
        <v>300</v>
      </c>
      <c r="E55" s="88">
        <f>'№4'!G392</f>
        <v>0</v>
      </c>
      <c r="F55" s="88">
        <f>'№4'!H392</f>
        <v>0</v>
      </c>
    </row>
    <row r="56" spans="1:6" ht="33">
      <c r="A56" s="4" t="s">
        <v>621</v>
      </c>
      <c r="B56" s="4" t="s">
        <v>14</v>
      </c>
      <c r="C56" s="5" t="s">
        <v>524</v>
      </c>
      <c r="D56" s="88">
        <f>'№4'!F531</f>
        <v>300</v>
      </c>
      <c r="E56" s="88">
        <f>'№4'!G531</f>
        <v>0</v>
      </c>
      <c r="F56" s="88">
        <f>'№4'!H531</f>
        <v>0</v>
      </c>
    </row>
    <row r="57" spans="1:6" ht="66">
      <c r="A57" s="31"/>
      <c r="B57" s="31"/>
      <c r="C57" s="3" t="s">
        <v>624</v>
      </c>
      <c r="D57" s="56">
        <f>D58+D59+D60</f>
        <v>950</v>
      </c>
      <c r="E57" s="56">
        <f aca="true" t="shared" si="22" ref="E57:F57">E58+E59+E60</f>
        <v>0</v>
      </c>
      <c r="F57" s="56">
        <f t="shared" si="22"/>
        <v>0</v>
      </c>
    </row>
    <row r="58" spans="1:6" ht="12.75">
      <c r="A58" s="31" t="s">
        <v>626</v>
      </c>
      <c r="B58" s="4" t="s">
        <v>25</v>
      </c>
      <c r="C58" s="5" t="s">
        <v>112</v>
      </c>
      <c r="D58" s="31">
        <f>'№4'!F257</f>
        <v>569.6</v>
      </c>
      <c r="E58" s="31">
        <f>'№4'!G257</f>
        <v>0</v>
      </c>
      <c r="F58" s="31">
        <f>'№4'!H257</f>
        <v>0</v>
      </c>
    </row>
    <row r="59" spans="1:6" ht="33">
      <c r="A59" s="31" t="s">
        <v>626</v>
      </c>
      <c r="B59" s="4" t="s">
        <v>7</v>
      </c>
      <c r="C59" s="5" t="s">
        <v>11</v>
      </c>
      <c r="D59" s="49">
        <f>'№4'!F405</f>
        <v>50</v>
      </c>
      <c r="E59" s="49">
        <f>'№4'!G405</f>
        <v>0</v>
      </c>
      <c r="F59" s="49">
        <f>'№4'!H405</f>
        <v>0</v>
      </c>
    </row>
    <row r="60" spans="1:6" ht="33">
      <c r="A60" s="31" t="s">
        <v>626</v>
      </c>
      <c r="B60" s="4" t="s">
        <v>14</v>
      </c>
      <c r="C60" s="5" t="s">
        <v>524</v>
      </c>
      <c r="D60" s="31">
        <f>'№4'!F489+'№4'!F522+'№4'!F542</f>
        <v>330.4</v>
      </c>
      <c r="E60" s="31">
        <f>'№4'!G489+'№4'!G522+'№4'!G542</f>
        <v>0</v>
      </c>
      <c r="F60" s="31">
        <f>'№4'!H489+'№4'!H522+'№4'!H542</f>
        <v>0</v>
      </c>
    </row>
    <row r="61" spans="1:6" ht="49.5">
      <c r="A61" s="31"/>
      <c r="B61" s="4"/>
      <c r="C61" s="3" t="s">
        <v>641</v>
      </c>
      <c r="D61" s="56">
        <f>D62</f>
        <v>99</v>
      </c>
      <c r="E61" s="56">
        <f aca="true" t="shared" si="23" ref="E61:F61">E62</f>
        <v>0</v>
      </c>
      <c r="F61" s="56">
        <f t="shared" si="23"/>
        <v>0</v>
      </c>
    </row>
    <row r="62" spans="1:6" ht="12.75">
      <c r="A62" s="4" t="s">
        <v>643</v>
      </c>
      <c r="B62" s="4" t="s">
        <v>25</v>
      </c>
      <c r="C62" s="5" t="s">
        <v>112</v>
      </c>
      <c r="D62" s="49">
        <f>'№4'!F238</f>
        <v>99</v>
      </c>
      <c r="E62" s="49">
        <f>'№4'!G238</f>
        <v>0</v>
      </c>
      <c r="F62" s="49">
        <f>'№4'!H238</f>
        <v>0</v>
      </c>
    </row>
    <row r="63" spans="1:6" ht="49.5">
      <c r="A63" s="31"/>
      <c r="B63" s="4"/>
      <c r="C63" s="3" t="s">
        <v>642</v>
      </c>
      <c r="D63" s="56">
        <f>D64</f>
        <v>30</v>
      </c>
      <c r="E63" s="56">
        <f aca="true" t="shared" si="24" ref="E63:F63">E64</f>
        <v>0</v>
      </c>
      <c r="F63" s="56">
        <f t="shared" si="24"/>
        <v>0</v>
      </c>
    </row>
    <row r="64" spans="1:6" ht="12.75">
      <c r="A64" s="67" t="s">
        <v>646</v>
      </c>
      <c r="B64" s="4" t="s">
        <v>25</v>
      </c>
      <c r="C64" s="5" t="s">
        <v>112</v>
      </c>
      <c r="D64" s="49">
        <f>'№4'!F235</f>
        <v>30</v>
      </c>
      <c r="E64" s="49">
        <f>'№4'!G235</f>
        <v>0</v>
      </c>
      <c r="F64" s="49">
        <f>'№4'!H235</f>
        <v>0</v>
      </c>
    </row>
    <row r="65" spans="1:6" ht="49.5">
      <c r="A65" s="31"/>
      <c r="B65" s="31"/>
      <c r="C65" s="3" t="s">
        <v>629</v>
      </c>
      <c r="D65" s="56">
        <f>D67+D66</f>
        <v>3403.3</v>
      </c>
      <c r="E65" s="56">
        <f aca="true" t="shared" si="25" ref="E65:F65">E67+E66</f>
        <v>0</v>
      </c>
      <c r="F65" s="56">
        <f t="shared" si="25"/>
        <v>0</v>
      </c>
    </row>
    <row r="66" spans="1:6" ht="12.75">
      <c r="A66" s="67" t="s">
        <v>635</v>
      </c>
      <c r="B66" s="4" t="s">
        <v>25</v>
      </c>
      <c r="C66" s="5" t="s">
        <v>112</v>
      </c>
      <c r="D66" s="49">
        <f>'№4'!F219</f>
        <v>1934.1</v>
      </c>
      <c r="E66" s="49">
        <f>'№4'!G219</f>
        <v>0</v>
      </c>
      <c r="F66" s="49">
        <f>'№4'!H219</f>
        <v>0</v>
      </c>
    </row>
    <row r="67" spans="1:6" ht="12.75">
      <c r="A67" s="4" t="s">
        <v>637</v>
      </c>
      <c r="B67" s="4" t="s">
        <v>25</v>
      </c>
      <c r="C67" s="5" t="s">
        <v>112</v>
      </c>
      <c r="D67" s="49">
        <f>'№4'!F240</f>
        <v>1469.2</v>
      </c>
      <c r="E67" s="49">
        <f>'№4'!G240</f>
        <v>0</v>
      </c>
      <c r="F67" s="49">
        <f>'№4'!H240</f>
        <v>0</v>
      </c>
    </row>
    <row r="68" spans="1:6" ht="49.5">
      <c r="A68" s="31"/>
      <c r="B68" s="31"/>
      <c r="C68" s="3" t="s">
        <v>630</v>
      </c>
      <c r="D68" s="56">
        <f>SUM(D69:D71)</f>
        <v>5488.5</v>
      </c>
      <c r="E68" s="56">
        <f aca="true" t="shared" si="26" ref="E68:F68">SUM(E69:E71)</f>
        <v>0</v>
      </c>
      <c r="F68" s="56">
        <f t="shared" si="26"/>
        <v>0</v>
      </c>
    </row>
    <row r="69" spans="1:6" ht="12.75">
      <c r="A69" s="67" t="s">
        <v>634</v>
      </c>
      <c r="B69" s="4" t="s">
        <v>25</v>
      </c>
      <c r="C69" s="5" t="s">
        <v>112</v>
      </c>
      <c r="D69" s="49">
        <f>'№4'!F200</f>
        <v>1554.4</v>
      </c>
      <c r="E69" s="49">
        <f>'№4'!G200</f>
        <v>0</v>
      </c>
      <c r="F69" s="49">
        <f>'№4'!H200</f>
        <v>0</v>
      </c>
    </row>
    <row r="70" spans="1:6" ht="33">
      <c r="A70" s="67" t="s">
        <v>633</v>
      </c>
      <c r="B70" s="4" t="s">
        <v>7</v>
      </c>
      <c r="C70" s="5" t="s">
        <v>11</v>
      </c>
      <c r="D70" s="49">
        <f>'№4'!F394</f>
        <v>1174</v>
      </c>
      <c r="E70" s="49">
        <f>'№4'!G394</f>
        <v>0</v>
      </c>
      <c r="F70" s="49">
        <f>'№4'!H394</f>
        <v>0</v>
      </c>
    </row>
    <row r="71" spans="1:6" ht="33">
      <c r="A71" s="31" t="s">
        <v>632</v>
      </c>
      <c r="B71" s="4" t="s">
        <v>14</v>
      </c>
      <c r="C71" s="5" t="s">
        <v>524</v>
      </c>
      <c r="D71" s="49">
        <f>'№4'!F533</f>
        <v>2760.1</v>
      </c>
      <c r="E71" s="49">
        <f>'№4'!G533</f>
        <v>0</v>
      </c>
      <c r="F71" s="49">
        <f>'№4'!H533</f>
        <v>0</v>
      </c>
    </row>
    <row r="72" spans="1:6" ht="49.5">
      <c r="A72" s="31"/>
      <c r="B72" s="31"/>
      <c r="C72" s="3" t="s">
        <v>685</v>
      </c>
      <c r="D72" s="56">
        <f>D73</f>
        <v>252.3</v>
      </c>
      <c r="E72" s="56">
        <f aca="true" t="shared" si="27" ref="E72:F72">E73</f>
        <v>0</v>
      </c>
      <c r="F72" s="56">
        <f t="shared" si="27"/>
        <v>0</v>
      </c>
    </row>
    <row r="73" spans="1:6" ht="12.75">
      <c r="A73" s="4" t="s">
        <v>686</v>
      </c>
      <c r="B73" s="4" t="s">
        <v>25</v>
      </c>
      <c r="C73" s="5" t="s">
        <v>112</v>
      </c>
      <c r="D73" s="31">
        <f>'№4'!F249</f>
        <v>252.3</v>
      </c>
      <c r="E73" s="31">
        <f>'№4'!G249</f>
        <v>0</v>
      </c>
      <c r="F73" s="31">
        <f>'№4'!H249</f>
        <v>0</v>
      </c>
    </row>
  </sheetData>
  <mergeCells count="11">
    <mergeCell ref="E7:F7"/>
    <mergeCell ref="C1:F1"/>
    <mergeCell ref="C2:F2"/>
    <mergeCell ref="C3:F3"/>
    <mergeCell ref="A4:D4"/>
    <mergeCell ref="A5:F5"/>
    <mergeCell ref="A6:A8"/>
    <mergeCell ref="B6:B8"/>
    <mergeCell ref="C6:C8"/>
    <mergeCell ref="D6:F6"/>
    <mergeCell ref="D7:D8"/>
  </mergeCells>
  <printOptions/>
  <pageMargins left="0.5905511811023623" right="0.1968503937007874" top="0" bottom="0" header="0.31496062992125984" footer="0.31496062992125984"/>
  <pageSetup fitToHeight="0"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J9"/>
  <sheetViews>
    <sheetView workbookViewId="0" topLeftCell="A1">
      <selection activeCell="D13" sqref="D13"/>
    </sheetView>
  </sheetViews>
  <sheetFormatPr defaultColWidth="8.875" defaultRowHeight="12.75"/>
  <cols>
    <col min="1" max="1" width="33.125" style="24" customWidth="1"/>
    <col min="2" max="2" width="10.75390625" style="24" customWidth="1"/>
    <col min="3" max="3" width="13.375" style="24" customWidth="1"/>
    <col min="4" max="4" width="10.25390625" style="24" customWidth="1"/>
    <col min="5" max="5" width="30.625" style="24" customWidth="1"/>
    <col min="6" max="6" width="6.25390625" style="24" customWidth="1"/>
    <col min="7" max="7" width="15.00390625" style="24" customWidth="1"/>
    <col min="8" max="8" width="10.875" style="24" customWidth="1"/>
    <col min="9" max="9" width="11.125" style="24" customWidth="1"/>
    <col min="10" max="10" width="10.75390625" style="24" customWidth="1"/>
    <col min="11" max="16384" width="8.875" style="24" customWidth="1"/>
  </cols>
  <sheetData>
    <row r="1" spans="1:10" ht="46.9" customHeight="1">
      <c r="A1" s="97" t="s">
        <v>93</v>
      </c>
      <c r="B1" s="97" t="s">
        <v>93</v>
      </c>
      <c r="C1" s="97" t="s">
        <v>93</v>
      </c>
      <c r="D1" s="97" t="s">
        <v>93</v>
      </c>
      <c r="E1" s="97" t="s">
        <v>93</v>
      </c>
      <c r="F1" s="220" t="s">
        <v>1001</v>
      </c>
      <c r="G1" s="220"/>
      <c r="H1" s="220"/>
      <c r="I1" s="220"/>
      <c r="J1" s="220"/>
    </row>
    <row r="2" spans="1:10" ht="49.9" customHeight="1">
      <c r="A2" s="221" t="s">
        <v>653</v>
      </c>
      <c r="B2" s="221"/>
      <c r="C2" s="221"/>
      <c r="D2" s="221"/>
      <c r="E2" s="221"/>
      <c r="F2" s="221"/>
      <c r="G2" s="221"/>
      <c r="H2" s="221"/>
      <c r="I2" s="221"/>
      <c r="J2" s="221"/>
    </row>
    <row r="3" spans="1:10" ht="63.6" customHeight="1">
      <c r="A3" s="222" t="s">
        <v>654</v>
      </c>
      <c r="B3" s="222" t="s">
        <v>655</v>
      </c>
      <c r="C3" s="222"/>
      <c r="D3" s="222"/>
      <c r="E3" s="222"/>
      <c r="F3" s="222" t="s">
        <v>656</v>
      </c>
      <c r="G3" s="222"/>
      <c r="H3" s="222" t="s">
        <v>657</v>
      </c>
      <c r="I3" s="222"/>
      <c r="J3" s="222"/>
    </row>
    <row r="4" spans="1:10" ht="41.65" customHeight="1">
      <c r="A4" s="222" t="s">
        <v>654</v>
      </c>
      <c r="B4" s="57" t="s">
        <v>658</v>
      </c>
      <c r="C4" s="57" t="s">
        <v>659</v>
      </c>
      <c r="D4" s="57" t="s">
        <v>660</v>
      </c>
      <c r="E4" s="57" t="s">
        <v>661</v>
      </c>
      <c r="F4" s="57" t="s">
        <v>61</v>
      </c>
      <c r="G4" s="57" t="s">
        <v>662</v>
      </c>
      <c r="H4" s="57" t="s">
        <v>663</v>
      </c>
      <c r="I4" s="57" t="s">
        <v>664</v>
      </c>
      <c r="J4" s="57" t="s">
        <v>665</v>
      </c>
    </row>
    <row r="5" spans="1:10" ht="23.25" customHeight="1">
      <c r="A5" s="57" t="s">
        <v>6</v>
      </c>
      <c r="B5" s="57" t="s">
        <v>104</v>
      </c>
      <c r="C5" s="57" t="s">
        <v>105</v>
      </c>
      <c r="D5" s="57" t="s">
        <v>106</v>
      </c>
      <c r="E5" s="57" t="s">
        <v>107</v>
      </c>
      <c r="F5" s="57" t="s">
        <v>108</v>
      </c>
      <c r="G5" s="57" t="s">
        <v>337</v>
      </c>
      <c r="H5" s="57" t="s">
        <v>109</v>
      </c>
      <c r="I5" s="57" t="s">
        <v>110</v>
      </c>
      <c r="J5" s="57" t="s">
        <v>666</v>
      </c>
    </row>
    <row r="6" spans="1:10" ht="87.2" customHeight="1">
      <c r="A6" s="51" t="s">
        <v>474</v>
      </c>
      <c r="B6" s="51" t="s">
        <v>667</v>
      </c>
      <c r="C6" s="98">
        <v>41451</v>
      </c>
      <c r="D6" s="57" t="s">
        <v>668</v>
      </c>
      <c r="E6" s="51" t="s">
        <v>669</v>
      </c>
      <c r="F6" s="57" t="s">
        <v>63</v>
      </c>
      <c r="G6" s="57" t="s">
        <v>473</v>
      </c>
      <c r="H6" s="28">
        <f>'№4'!F429</f>
        <v>36</v>
      </c>
      <c r="I6" s="28">
        <f>'№4'!G429</f>
        <v>36</v>
      </c>
      <c r="J6" s="28">
        <f>'№4'!H429</f>
        <v>36</v>
      </c>
    </row>
    <row r="7" spans="1:10" ht="151.5" customHeight="1">
      <c r="A7" s="51" t="s">
        <v>94</v>
      </c>
      <c r="B7" s="51" t="s">
        <v>667</v>
      </c>
      <c r="C7" s="57" t="s">
        <v>670</v>
      </c>
      <c r="D7" s="57" t="s">
        <v>671</v>
      </c>
      <c r="E7" s="51" t="s">
        <v>672</v>
      </c>
      <c r="F7" s="57" t="s">
        <v>80</v>
      </c>
      <c r="G7" s="57" t="s">
        <v>250</v>
      </c>
      <c r="H7" s="28">
        <f>'№4'!F263</f>
        <v>1313.3</v>
      </c>
      <c r="I7" s="28">
        <f>'№4'!G263</f>
        <v>1773.5</v>
      </c>
      <c r="J7" s="28">
        <f>'№4'!H263</f>
        <v>1773.5</v>
      </c>
    </row>
    <row r="8" spans="1:10" ht="72.2" customHeight="1">
      <c r="A8" s="51" t="s">
        <v>673</v>
      </c>
      <c r="B8" s="51" t="s">
        <v>667</v>
      </c>
      <c r="C8" s="57" t="s">
        <v>674</v>
      </c>
      <c r="D8" s="57" t="s">
        <v>675</v>
      </c>
      <c r="E8" s="51" t="s">
        <v>676</v>
      </c>
      <c r="F8" s="57" t="s">
        <v>65</v>
      </c>
      <c r="G8" s="57" t="s">
        <v>253</v>
      </c>
      <c r="H8" s="28">
        <f>'№4'!F278</f>
        <v>121</v>
      </c>
      <c r="I8" s="28">
        <f>'№4'!G278</f>
        <v>121</v>
      </c>
      <c r="J8" s="28">
        <f>'№4'!H278</f>
        <v>121</v>
      </c>
    </row>
    <row r="9" spans="1:10" ht="25.15" customHeight="1">
      <c r="A9" s="26" t="s">
        <v>677</v>
      </c>
      <c r="B9" s="99" t="s">
        <v>93</v>
      </c>
      <c r="C9" s="99" t="s">
        <v>93</v>
      </c>
      <c r="D9" s="99" t="s">
        <v>93</v>
      </c>
      <c r="E9" s="99" t="s">
        <v>93</v>
      </c>
      <c r="F9" s="99" t="s">
        <v>93</v>
      </c>
      <c r="G9" s="99" t="s">
        <v>93</v>
      </c>
      <c r="H9" s="27">
        <f>SUM(H6:H8)</f>
        <v>1470.3</v>
      </c>
      <c r="I9" s="27">
        <f aca="true" t="shared" si="0" ref="I9:J9">SUM(I6:I8)</f>
        <v>1930.5</v>
      </c>
      <c r="J9" s="27">
        <f t="shared" si="0"/>
        <v>1930.5</v>
      </c>
    </row>
  </sheetData>
  <mergeCells count="6">
    <mergeCell ref="F1:J1"/>
    <mergeCell ref="A2:J2"/>
    <mergeCell ref="A3:A4"/>
    <mergeCell ref="B3:E3"/>
    <mergeCell ref="F3:G3"/>
    <mergeCell ref="H3:J3"/>
  </mergeCells>
  <printOptions/>
  <pageMargins left="0.5905511811023623" right="0.1968503937007874" top="0.7874015748031497" bottom="0.1968503937007874" header="0.31496062992125984" footer="0.31496062992125984"/>
  <pageSetup fitToHeight="0"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ОФ и ЭА Администрация города Торжка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Маслобойщикова</dc:creator>
  <cp:keywords/>
  <dc:description/>
  <cp:lastModifiedBy>Vershinskaya</cp:lastModifiedBy>
  <cp:lastPrinted>2017-12-21T08:55:46Z</cp:lastPrinted>
  <dcterms:created xsi:type="dcterms:W3CDTF">2007-11-30T05:39:28Z</dcterms:created>
  <dcterms:modified xsi:type="dcterms:W3CDTF">2017-12-21T08:57:23Z</dcterms:modified>
  <cp:category/>
  <cp:version/>
  <cp:contentType/>
  <cp:contentStatus/>
</cp:coreProperties>
</file>