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ЭтаКнига" defaultThemeVersion="124226"/>
  <bookViews>
    <workbookView xWindow="90" yWindow="0" windowWidth="15480" windowHeight="9660" firstSheet="9" activeTab="14"/>
  </bookViews>
  <sheets>
    <sheet name="№1" sheetId="42" r:id="rId1"/>
    <sheet name="№2 ист. по кодам " sheetId="166" r:id="rId2"/>
    <sheet name="№3 ист. по кодам групп" sheetId="167" r:id="rId3"/>
    <sheet name="№ 4 по группам" sheetId="164" r:id="rId4"/>
    <sheet name="№ 5 по кодам классиф." sheetId="165" r:id="rId5"/>
    <sheet name="№6 по кодам видов" sheetId="163" r:id="rId6"/>
    <sheet name="№7 (Р,П)" sheetId="2" r:id="rId7"/>
    <sheet name="№8 (ведомст.)" sheetId="107" r:id="rId8"/>
    <sheet name="№9 (Р,П,Ц)" sheetId="108" r:id="rId9"/>
    <sheet name="№10 (МП)" sheetId="110" r:id="rId10"/>
    <sheet name="№11" sheetId="139" r:id="rId11"/>
    <sheet name="№ 12 (безвозмезд)" sheetId="160" r:id="rId12"/>
    <sheet name="№13 (ПО)" sheetId="156" r:id="rId13"/>
    <sheet name="№14 (АИП)" sheetId="161" r:id="rId14"/>
    <sheet name="№15 (заимств.)" sheetId="162" r:id="rId15"/>
  </sheets>
  <definedNames/>
  <calcPr calcId="124519"/>
</workbook>
</file>

<file path=xl/sharedStrings.xml><?xml version="1.0" encoding="utf-8"?>
<sst xmlns="http://schemas.openxmlformats.org/spreadsheetml/2006/main" count="5240" uniqueCount="1153">
  <si>
    <t>муниципального образования город Торжок  по разделам и подразделам классификации</t>
  </si>
  <si>
    <t>0105</t>
  </si>
  <si>
    <t>Судебная система</t>
  </si>
  <si>
    <t>Другие вопросы в области физической культуры и спорта</t>
  </si>
  <si>
    <t>Всего:</t>
  </si>
  <si>
    <t>Обеспечивающая подпрограмма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</si>
  <si>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</si>
  <si>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Торжокская городская Дума</t>
  </si>
  <si>
    <t>Комитет по управлению имуществом муниципального образования город Торжок Тверской области</t>
  </si>
  <si>
    <t xml:space="preserve">Расходы, не включенные в муниципальные программы </t>
  </si>
  <si>
    <t>Расходы на обеспечение деятельности и иные расходы представительного органа муниципального образования город Торжок</t>
  </si>
  <si>
    <t>Председатель  Торжокской городской Думы</t>
  </si>
  <si>
    <t>Центральный аппарат органов, не включенных в муниципальные  программы муниципального образования город Торжок</t>
  </si>
  <si>
    <t>Подпрограмма "Создание условий для эффективного функционирования исполнительных органов местного самоуправления муниципального образования город Торжок</t>
  </si>
  <si>
    <t>Муниципальная программа муниципального образования город Торжок  «Управление муниципальными финансами» на  2014 - 2019 годы</t>
  </si>
  <si>
    <t>1</t>
  </si>
  <si>
    <t>008</t>
  </si>
  <si>
    <t>0501</t>
  </si>
  <si>
    <t>Жилищное хозяйство</t>
  </si>
  <si>
    <t>0409</t>
  </si>
  <si>
    <t xml:space="preserve">Дорожное хозяйство (дорожные фонды)          </t>
  </si>
  <si>
    <t>Комитет по физкультуре, спорту и молодежной политике администрации муниципального образования город Торжок</t>
  </si>
  <si>
    <t>Обеспечение деятельности финансовых, налоговых и таможенных органов и органов финансового (финансово-бюджетного) надзора</t>
  </si>
  <si>
    <t>Резервные фонды</t>
  </si>
  <si>
    <t>011</t>
  </si>
  <si>
    <t>Управление образования администрации города Торжка Тверской области</t>
  </si>
  <si>
    <t>Дошкольное образование</t>
  </si>
  <si>
    <t>Общее образование</t>
  </si>
  <si>
    <t xml:space="preserve">Распределение бюджетных ассигнований  бюджета </t>
  </si>
  <si>
    <t>Другие вопросы в области образования</t>
  </si>
  <si>
    <t>Культура</t>
  </si>
  <si>
    <t>006</t>
  </si>
  <si>
    <t>Защита населения и территории от  чрезвычайных ситуаций природного и техногенного характера, гражданская оборона</t>
  </si>
  <si>
    <t>ППП</t>
  </si>
  <si>
    <t>КЦСР</t>
  </si>
  <si>
    <t>КВР</t>
  </si>
  <si>
    <t>Наименование</t>
  </si>
  <si>
    <t>001</t>
  </si>
  <si>
    <t>Общегосударственные вопросы</t>
  </si>
  <si>
    <t>Приложение  1</t>
  </si>
  <si>
    <t>Источники  финансирования  дефицита  бюджета</t>
  </si>
  <si>
    <t>000 01 05 00 00 00 0000 000</t>
  </si>
  <si>
    <t>000 01 05 00 00 00 0000 500</t>
  </si>
  <si>
    <t>Увеличение остатков средств бюджетов</t>
  </si>
  <si>
    <t>000 01 05 02 00 00 0000 500</t>
  </si>
  <si>
    <t>Увеличение прочих остатков  средств  бюджетов</t>
  </si>
  <si>
    <t>000 01 05 02 01 04 0000 510</t>
  </si>
  <si>
    <t>Увеличение прочих остатков  денежных средств  бюджетов городских округов</t>
  </si>
  <si>
    <t>000 01 05 00 00 00 0000 600</t>
  </si>
  <si>
    <t>Уменьшение остатков средств бюджетов</t>
  </si>
  <si>
    <t>000 01 05 02 00 00 0000 600</t>
  </si>
  <si>
    <t>Уменьшение прочих остатков  средств  бюджетов</t>
  </si>
  <si>
    <t>000 01 05 02 01 04 0000 610</t>
  </si>
  <si>
    <t>Уменьшение прочих остатков  денежных средств  бюджетов городских округов</t>
  </si>
  <si>
    <t>Итого источники финансирования дефицита бюджета</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</si>
  <si>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</si>
  <si>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</si>
  <si>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</si>
  <si>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</si>
  <si>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Национальная безопасность и правоохранительная деятельность</t>
  </si>
  <si>
    <t>Национальная экономика</t>
  </si>
  <si>
    <t>Другие вопросы в области национальной экономики</t>
  </si>
  <si>
    <t>Жилищно-коммунальное хозяйство</t>
  </si>
  <si>
    <t>Коммунальное хозяйство</t>
  </si>
  <si>
    <t>Благоустройство</t>
  </si>
  <si>
    <t>Образование</t>
  </si>
  <si>
    <t>Физическая культура и спорт</t>
  </si>
  <si>
    <t>Социальная политика</t>
  </si>
  <si>
    <t>Пенсионное обеспечение</t>
  </si>
  <si>
    <t>005</t>
  </si>
  <si>
    <t>Социальное обеспечение населения</t>
  </si>
  <si>
    <t>002</t>
  </si>
  <si>
    <t>РП</t>
  </si>
  <si>
    <t>0700</t>
  </si>
  <si>
    <t>0707</t>
  </si>
  <si>
    <t>1000</t>
  </si>
  <si>
    <t>1003</t>
  </si>
  <si>
    <t>0800</t>
  </si>
  <si>
    <t>0801</t>
  </si>
  <si>
    <t>0102</t>
  </si>
  <si>
    <t>0103</t>
  </si>
  <si>
    <t>0104</t>
  </si>
  <si>
    <t>0106</t>
  </si>
  <si>
    <t>0111</t>
  </si>
  <si>
    <t>0309</t>
  </si>
  <si>
    <t>0412</t>
  </si>
  <si>
    <t>0502</t>
  </si>
  <si>
    <t>0503</t>
  </si>
  <si>
    <t>0701</t>
  </si>
  <si>
    <t>0702</t>
  </si>
  <si>
    <t>0709</t>
  </si>
  <si>
    <t>1001</t>
  </si>
  <si>
    <t>0100</t>
  </si>
  <si>
    <t>0300</t>
  </si>
  <si>
    <t>0400</t>
  </si>
  <si>
    <t>0500</t>
  </si>
  <si>
    <t>ВСЕГО</t>
  </si>
  <si>
    <t>Функционирование высшего должностного лица субъекта Российской Федерации и муниципального образования</t>
  </si>
  <si>
    <t>0113</t>
  </si>
  <si>
    <t>1100</t>
  </si>
  <si>
    <t>Массовый спорт</t>
  </si>
  <si>
    <t>Средства массовой информации</t>
  </si>
  <si>
    <t>Управление финансов администрации муниципального образования город Торжок</t>
  </si>
  <si>
    <t>1204</t>
  </si>
  <si>
    <t>Другие вопросы в области средств массовой информации</t>
  </si>
  <si>
    <t/>
  </si>
  <si>
    <t>Пенсии за выслугу лет к трудовой пенсии по старости (инвалидности) лицам, замещавшим должности муниципальной службы муниципального образования город Торжок</t>
  </si>
  <si>
    <t>100</t>
  </si>
  <si>
    <t>200</t>
  </si>
  <si>
    <t>800</t>
  </si>
  <si>
    <t>Иные бюджетные ассигнования</t>
  </si>
  <si>
    <t>300</t>
  </si>
  <si>
    <t>Социальное обеспечение и иные выплаты населению</t>
  </si>
  <si>
    <t>Расходы по центральному аппарату на выполнение  полномочий муниципального образования, за исключением переданных государственных полномочий Российской Федерации и Тверской области</t>
  </si>
  <si>
    <t>Расходы по центральному аппарату на выполнение   переданных муниципальному образованию государственных полномочий Российской Федерации и Тверской области</t>
  </si>
  <si>
    <t>0304</t>
  </si>
  <si>
    <t>Органы юстиции</t>
  </si>
  <si>
    <t>2</t>
  </si>
  <si>
    <t>3</t>
  </si>
  <si>
    <t>4</t>
  </si>
  <si>
    <t>5</t>
  </si>
  <si>
    <t>6</t>
  </si>
  <si>
    <t>9</t>
  </si>
  <si>
    <t>10</t>
  </si>
  <si>
    <t xml:space="preserve">Культура,  кинематография </t>
  </si>
  <si>
    <t>администрация муниципального образования город Торжок</t>
  </si>
  <si>
    <t>Изменение остатков средств на счетах  по учету средств бюджета</t>
  </si>
  <si>
    <t>Муниципальная программа муниципального образования город Торжок  «Развитие образования  города Торжка» на 2014  - 2019 годы</t>
  </si>
  <si>
    <t>Подпрограмма "Модернизация дошкольного и общего образования, как института социального развития"</t>
  </si>
  <si>
    <t>Предоставление общедоступного и бесплатного  дошкольного образования  в муниципальных бюджетных дошкольных  образовательных учреждениях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</si>
  <si>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</si>
  <si>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Предоставление субсидий бюджетным, автономным учреждениям и иным некоммерческим организациям</t>
  </si>
  <si>
    <t xml:space="preserve">Проведение ремонта зданий и помещений  муниципальных бюджетных дошкольных образовательных учреждений </t>
  </si>
  <si>
    <t xml:space="preserve">Подготовка к новому учебному году муниципальных бюджетных дошкольных образовательных учреждений </t>
  </si>
  <si>
    <t>Предоставление общедоступного и бесплатного  начального общего, основного общего, среднего (полного) общего образования   в муниципальных бюджетных общеобразовательных учреждениях</t>
  </si>
  <si>
    <t>Предоставление дополнительного образования   детям в муниципальных бюджетных образовательных учреждениях</t>
  </si>
  <si>
    <t>Предоставление дополнительного образования  спортивной направленности  детям в муниципальных бюджетных образовательных учреждениях</t>
  </si>
  <si>
    <t xml:space="preserve">Проведение ремонта зданий и помещений  муниципальных бюджетных общеобразовательных учреждений </t>
  </si>
  <si>
    <t xml:space="preserve">Подготовка к новому учебному году муниципальных бюджетных общеобразовательных  учреждений </t>
  </si>
  <si>
    <t>Обеспечение комплексной безопасности зданий и помещений муниципальных бюджетных дошкольных образовательных учреждений</t>
  </si>
  <si>
    <t>Обеспечение комплексной безопасности зданий и помещений муниципальных бюджетных общеобразовательных учреждений</t>
  </si>
  <si>
    <t>Организация обеспечения учащихся начальных классов муниципальных общеобразовательных учреждений города Торжка горячим питанием</t>
  </si>
  <si>
    <t>Расходы на финансовое обеспечение деятельности отделов Управление образования администрации города Торжка Тверской области</t>
  </si>
  <si>
    <t>Расходы на финансовое обеспечение деятельности муниципального казенного учреждения города Торжка "Централизованная бухгалтерия"</t>
  </si>
  <si>
    <t>1004</t>
  </si>
  <si>
    <t>Охрана семьи и детства</t>
  </si>
  <si>
    <t>Компенсация части родительской платы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</si>
  <si>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</si>
  <si>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Подпрограмма "Организация бюджетного процесса"</t>
  </si>
  <si>
    <t>Мероприятия, связанные с организацией и использованием канала связи в целях осуществления электронного документооборота</t>
  </si>
  <si>
    <t>Резервный фонд администрации муниципального образования город Торжок</t>
  </si>
  <si>
    <t>08</t>
  </si>
  <si>
    <t>Подпрограмма  "Создание условий для вовлечения молодежи города Торжка в общественно-политическую, социально-экономическую  и культурную жизнь общества"</t>
  </si>
  <si>
    <t>Поддержка способной инициативной и талантливой молодежи</t>
  </si>
  <si>
    <t>Проведение смотра-конкурса на лучшее студенческое общежитие города Торжка</t>
  </si>
  <si>
    <t>Предоставление услуг в сфере социальной помощи молодежи</t>
  </si>
  <si>
    <t xml:space="preserve">Организация трудовых отрядов несовершеннолетних в возрасте от 14 до 18 лет в свободное от учебы время </t>
  </si>
  <si>
    <t>Проведение городского молодежного туристического слета</t>
  </si>
  <si>
    <t>Развитие и повышение эффективности функционирования муниципальной системы профилактики безнадзорности и правонарушений несовершеннолетних</t>
  </si>
  <si>
    <t>Муниципальная программа муниципального образования город Торжок «Развитие физической культуры и спорта города Торжка» на  2014  - 2019 годы</t>
  </si>
  <si>
    <t>Подпрограмма "Массовая физкультурно-оздоровительная и спортивная работа"</t>
  </si>
  <si>
    <t>Предоставление дополнительного образования спортивной направленности детям  в специализированной детско-юношеской спортивной школе олимпийского резерва</t>
  </si>
  <si>
    <t>1102</t>
  </si>
  <si>
    <t>Организация проведения спортивно-массовых мероприятий и соревнований</t>
  </si>
  <si>
    <t xml:space="preserve">Создание условий для занятий физической культурой и спортом населения в муниципальном  физкультурно-оздоровительном комплексе </t>
  </si>
  <si>
    <t>Субсидии на иные цели муниципальному физкультурно-оздоровительному комплексу на поддержку в организации занятий льготных категорий граждан</t>
  </si>
  <si>
    <t>1105</t>
  </si>
  <si>
    <t>05</t>
  </si>
  <si>
    <t>Муниципальная программа муниципального образования город Торжок  «Управление имуществом и земельными ресурсами муниципального образования» на  2014 - 2019 годы</t>
  </si>
  <si>
    <t>Подпрограмма "Управление муниципальным имуществом и земельными ресурсами муниципального образования город Торжок"</t>
  </si>
  <si>
    <t>Содержание имущества казны муниципального образования город Торжок</t>
  </si>
  <si>
    <t>Оценка недвижимости, признание прав и регулирование отношений по  муниципальной собственности</t>
  </si>
  <si>
    <t>Формирование земельных участков, находящихся в ведении муниципального образования город Торжок</t>
  </si>
  <si>
    <t>Муниципальная программа муниципального образования город Торжок  «Обеспечение доступным жильем населения города Торжка и развитие жилищного строительства»  на  2014  - 2019 годы</t>
  </si>
  <si>
    <t>Муниципальная программа муниципального образования город Торжок «Развитие культуры города Торжка» на  2014  - 2019 годы</t>
  </si>
  <si>
    <t>Подпрограмма "Сохранение и развитие культурного потенциала муниципального образования город Торжок"</t>
  </si>
  <si>
    <t>Комплектование библиотечного фонда муниципального казенного учреждения культуры города Торжка "ЦБС"</t>
  </si>
  <si>
    <t>Организации досуга и обеспечение жителей города услугами организаций культуры</t>
  </si>
  <si>
    <t>Проведение городских культурно-массовых   мероприятий бюджетным учреждением в сфере  предоставления услуг дополнительного образования детей в области культуры</t>
  </si>
  <si>
    <t xml:space="preserve">Организация библиотечного обслуживания населения </t>
  </si>
  <si>
    <t>Капитальные вложения в объекты недвижимого имущества государственной (муниципальной) собственности</t>
  </si>
  <si>
    <t>Подпрограмма "Социальная поддержка населения города Торжка"</t>
  </si>
  <si>
    <t>Обеспечение мер социальной поддержки для лиц, удостоенных  звания "Почетный гражданин города Торжка"</t>
  </si>
  <si>
    <t>Подпрограмма "Поддержка общественного сектора и обеспечение информационной открытости органов местного самоуправления муниципального образования город Торжок"</t>
  </si>
  <si>
    <t>Содействие социально ориентированным  некоммерческим организациям в реализации ими целевых социальных проектов</t>
  </si>
  <si>
    <t>Проведение конкурсов по итогам года "Лучший по профессии" и "Новотор года"</t>
  </si>
  <si>
    <t>Организационное обеспечение проведения мероприятий с участием Главы города</t>
  </si>
  <si>
    <t>Подпрограмма "Обеспечение развития инвестиционного потенциала муниципального образования город Торжок и совершенствование системы программно-целевого планирования и прогнозирования социально-экономического развития муниципального образования город Торжок"</t>
  </si>
  <si>
    <t>Представление муниципального образования город Торжок в работе Ассоциации "Совет муниципальных образований Тверской области"</t>
  </si>
  <si>
    <t>Расходы на предоставление статистической информации территориальным органом Федеральной службы государственной статистики по Тверской области</t>
  </si>
  <si>
    <t>Подпрограмма "Снижение рисков и смягчение последствий чрезвычайных ситуаций на территории города Торжка"</t>
  </si>
  <si>
    <t xml:space="preserve">Предоставление муниципальных услуг  в сфере защиты населения и территорий от чрезвычайных ситуаций </t>
  </si>
  <si>
    <t>Муниципальная программа муниципального образования город Торжок  «Дорожное хозяйство   и общественный транспорт    города Торжка на 2014 -2019 годы"</t>
  </si>
  <si>
    <t>Подпрограмма "Сохранение и улучшение транспортно-эксплуатационного состояния улично-дорожной сети города Торжка"</t>
  </si>
  <si>
    <t xml:space="preserve">Содержание автомобильных дорог общего пользования местного значения города Торжка и сооружений на них, нацеленное на обеспечение их проезжаемости и безопасности </t>
  </si>
  <si>
    <t>Муниципальная программа муниципального образования город Торжок «Развитие малого  и среднего  предпринимательства в городе Торжке» на 2014 -2019 годы</t>
  </si>
  <si>
    <t>Подпрограмма "Содействие развитию субъектов малого и среднего предпринимательства в городе Торжке"</t>
  </si>
  <si>
    <t>Организация и проведение ежегодного смотра-конкурса "Лучшее новогоднее оформление предприятий потребительского рынка"</t>
  </si>
  <si>
    <t>Подпрограмма "Развитие туристской привлекательности города Торжка"</t>
  </si>
  <si>
    <t>Проведение мероприятий, направленных на привлечение туристского потока в город Торжок</t>
  </si>
  <si>
    <t>Участие муниципального образования в российских выставочно-конгрессных мероприятиях в сфере туризма</t>
  </si>
  <si>
    <t>Подпрограмма "Содействие в обеспечении жильем молодых семей"</t>
  </si>
  <si>
    <t>Предоставление социальных выплат молодым семьям на улучшение жилищных условий</t>
  </si>
  <si>
    <t>Муниципальная программа муниципального образования город Торжок  «Жилищно-коммунальное хозяйство города Торжка на  2014  - 2019 годы"</t>
  </si>
  <si>
    <t>Подпрограмма "Организация благоустройства территории муниципального образования город Торжок"</t>
  </si>
  <si>
    <t>Уличное освещение</t>
  </si>
  <si>
    <t>Развитие и содержание сетей уличного освещения в границах города</t>
  </si>
  <si>
    <t>Проведение мероприятий по озеленению улиц города</t>
  </si>
  <si>
    <t>Проведение мероприятий  по содержанию мест захоронений</t>
  </si>
  <si>
    <t>Проведение мероприятий по восстановлению воинских  захоронений</t>
  </si>
  <si>
    <t>Ликвидация несанкционированных свалок на территории муниципального образования город Торжок</t>
  </si>
  <si>
    <t>0405</t>
  </si>
  <si>
    <t>Сельское хозяйство и рыболовство</t>
  </si>
  <si>
    <t>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t>
  </si>
  <si>
    <t>Предоставление дополнительного образования детей в области культуры</t>
  </si>
  <si>
    <t>ПП</t>
  </si>
  <si>
    <t>МП</t>
  </si>
  <si>
    <t>01</t>
  </si>
  <si>
    <t>02</t>
  </si>
  <si>
    <t>03</t>
  </si>
  <si>
    <t>04</t>
  </si>
  <si>
    <t>06</t>
  </si>
  <si>
    <t>07</t>
  </si>
  <si>
    <t>09</t>
  </si>
  <si>
    <t>Подпрограмма "Обеспечение прозрачности и открытости  бюджетного процесса"</t>
  </si>
  <si>
    <t>Расходы, не включенные в муниципальные программы муниципального образования город Торжок</t>
  </si>
  <si>
    <t>99</t>
  </si>
  <si>
    <t>Реализация отдельных мероприятий по автоматизации бюджетного процесса, включая управление закупками и информационно-правовое обеспечение бюджетного процесса</t>
  </si>
  <si>
    <t>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</si>
  <si>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Муниципальная программа муниципального образования город Торжок  «Муниципальное управление и гражданское общество» на  2014  - 2019 годы</t>
  </si>
  <si>
    <t xml:space="preserve">Субсидии юридическим лицам (за исключением субсидий государственным (муниципальным) учреждениям), оказывающим услуги в сфере электронных средств массовой информации, учредителем (соучредителем) которых является муниципальное образование  город Торжок </t>
  </si>
  <si>
    <t>Субсидии юридическим лицам на возмещение части затрат, связанных с производством, выпуском и распространением периодических печатных изданий (газет), в отношении которых муниципальное образование город Торжок не является учредителем (соучредителем)</t>
  </si>
  <si>
    <t xml:space="preserve">Субсидии юридическим лицам на возмещение части затрат, связанных с производством, выпуском и распространением периодического печатного издания (газеты), учредителем (соучредителем) которого является администрация  города Торжка </t>
  </si>
  <si>
    <t>Создание условий для организации предпрофильной подготовки по основам предпринимательства и малого бизнеса среди молодежи города Торжка и информационно-пропагандистической  деятельности, направленной на решение проблемных вопросов  предпринимательства на базе Делового информационно-образовательного центра города</t>
  </si>
  <si>
    <t>Капитальный ремонт и ремонт автомобильных дорог общего пользования местного значения  города Торжка</t>
  </si>
  <si>
    <t>Капитальный ремонт общего имущества многоквартирных жилых домов в части доли имущества, находящегося в муниципальной собственности</t>
  </si>
  <si>
    <t>Подпрограмма "Развитие газификации муниципального образования город Торжок"</t>
  </si>
  <si>
    <t>Строительство распределительного газопровода низкого давления по  ул. Пустынь и Соминка в городе Торжке</t>
  </si>
  <si>
    <t>Организация и обеспечение отдыха и оздоровление детей города Торжка</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</si>
  <si>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</si>
  <si>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Оказание адресной материальной помощи отдельным категориям граждан</t>
  </si>
  <si>
    <t>Подпрограмма "Обеспечение безопасных условий дорожного движения на территории муниципального образования город Торжок</t>
  </si>
  <si>
    <t xml:space="preserve">Нанесение горизонтальной дорожной разметки на улично-дорожной сети города Торжка </t>
  </si>
  <si>
    <t>Выполнение работ по восстановлению изношенных покрытий автомобильных дорог общего пользования местного значения города Торжка (ямочный ремонт)</t>
  </si>
  <si>
    <t>Разработка проектной документации и выполнение работ по капитальному ремонту и ремонту искусственных сооружений на автомобильных дорогах</t>
  </si>
  <si>
    <t xml:space="preserve">Проведение ремонта помещения МКУК города Торжка "Централизованная библиотечная система" </t>
  </si>
  <si>
    <t>Содействие в материально-техническом оснащении и ремонте специализированной детско-юношеской спортивной школы олимпийского резерва</t>
  </si>
  <si>
    <t>Содействие в организации добровольческой деятельности молодежи</t>
  </si>
  <si>
    <t>0800000000</t>
  </si>
  <si>
    <t>0890000000</t>
  </si>
  <si>
    <t>089012011О</t>
  </si>
  <si>
    <t>089012012О</t>
  </si>
  <si>
    <t>089012013О</t>
  </si>
  <si>
    <t>089011051О</t>
  </si>
  <si>
    <t>0810000000</t>
  </si>
  <si>
    <t>081025120Б</t>
  </si>
  <si>
    <t>081022001Б</t>
  </si>
  <si>
    <t>0820000000</t>
  </si>
  <si>
    <t>082012001Б</t>
  </si>
  <si>
    <t>082022002Б</t>
  </si>
  <si>
    <t>0850000000</t>
  </si>
  <si>
    <t>085022002Б</t>
  </si>
  <si>
    <t>089011054О</t>
  </si>
  <si>
    <t>089015930О</t>
  </si>
  <si>
    <t>0840000000</t>
  </si>
  <si>
    <t>084012001М</t>
  </si>
  <si>
    <t>0500000000</t>
  </si>
  <si>
    <t>0540000000</t>
  </si>
  <si>
    <t>054021055Б</t>
  </si>
  <si>
    <t>0600000000</t>
  </si>
  <si>
    <t>0610000000</t>
  </si>
  <si>
    <t>061012001Б</t>
  </si>
  <si>
    <t>061022002Б</t>
  </si>
  <si>
    <t>061022005В</t>
  </si>
  <si>
    <t>061022006В</t>
  </si>
  <si>
    <t>0620000000</t>
  </si>
  <si>
    <t>062012005Б</t>
  </si>
  <si>
    <t>0700000000</t>
  </si>
  <si>
    <t>0710000000</t>
  </si>
  <si>
    <t>071022002Б</t>
  </si>
  <si>
    <t>071042003Б</t>
  </si>
  <si>
    <t>0720000000</t>
  </si>
  <si>
    <t>072012001Б</t>
  </si>
  <si>
    <t>072012002Б</t>
  </si>
  <si>
    <t>0400000000</t>
  </si>
  <si>
    <t>0530000000</t>
  </si>
  <si>
    <t>053012003Г</t>
  </si>
  <si>
    <t>054012001Б</t>
  </si>
  <si>
    <t>054012002Б</t>
  </si>
  <si>
    <t>054012003Б</t>
  </si>
  <si>
    <t>054012004Б</t>
  </si>
  <si>
    <t>054022006Б</t>
  </si>
  <si>
    <t>0200000000</t>
  </si>
  <si>
    <t>0210000000</t>
  </si>
  <si>
    <t>021032002М</t>
  </si>
  <si>
    <t>021022001М</t>
  </si>
  <si>
    <t>021032003И</t>
  </si>
  <si>
    <t>021012001К</t>
  </si>
  <si>
    <t>021012010К</t>
  </si>
  <si>
    <t>0860000000</t>
  </si>
  <si>
    <t>086012001П</t>
  </si>
  <si>
    <t>085022002С</t>
  </si>
  <si>
    <t>086022003П</t>
  </si>
  <si>
    <t>086012002П</t>
  </si>
  <si>
    <t>085012003С</t>
  </si>
  <si>
    <t>085012004С</t>
  </si>
  <si>
    <t>1000000000</t>
  </si>
  <si>
    <t>1090000000</t>
  </si>
  <si>
    <t>109012012О</t>
  </si>
  <si>
    <t>992002000А</t>
  </si>
  <si>
    <t>1010000000</t>
  </si>
  <si>
    <t>101012001Б</t>
  </si>
  <si>
    <t>1030000000</t>
  </si>
  <si>
    <t>103032001Б</t>
  </si>
  <si>
    <t>0900000000</t>
  </si>
  <si>
    <t>0910000000</t>
  </si>
  <si>
    <t>08501S032С</t>
  </si>
  <si>
    <t>099012012О</t>
  </si>
  <si>
    <t>091012010Б</t>
  </si>
  <si>
    <t>091012020Б</t>
  </si>
  <si>
    <t>0990000000</t>
  </si>
  <si>
    <t>091032040Б</t>
  </si>
  <si>
    <t>091012002В</t>
  </si>
  <si>
    <t>0430000000</t>
  </si>
  <si>
    <t>999002041Д</t>
  </si>
  <si>
    <t>999002042Д</t>
  </si>
  <si>
    <t>0300000000</t>
  </si>
  <si>
    <t>0310000000</t>
  </si>
  <si>
    <t>031022002М</t>
  </si>
  <si>
    <t>031022003И</t>
  </si>
  <si>
    <t>0100000000</t>
  </si>
  <si>
    <t>0110000000</t>
  </si>
  <si>
    <t>0120000000</t>
  </si>
  <si>
    <t>012012001Б</t>
  </si>
  <si>
    <t>012012002Б</t>
  </si>
  <si>
    <t>012012001М</t>
  </si>
  <si>
    <t>012012001И</t>
  </si>
  <si>
    <t>012012002И</t>
  </si>
  <si>
    <t>0420000000</t>
  </si>
  <si>
    <t>031012001Б</t>
  </si>
  <si>
    <t>031012001М</t>
  </si>
  <si>
    <t>031012002И</t>
  </si>
  <si>
    <t>0390000000</t>
  </si>
  <si>
    <t>039012012О</t>
  </si>
  <si>
    <t>011012001М</t>
  </si>
  <si>
    <t>011012001И</t>
  </si>
  <si>
    <t>011012002И</t>
  </si>
  <si>
    <t>011012003И</t>
  </si>
  <si>
    <t>011011074М</t>
  </si>
  <si>
    <t>011022002М</t>
  </si>
  <si>
    <t>011032003М</t>
  </si>
  <si>
    <t>011032004М</t>
  </si>
  <si>
    <t>011022004И</t>
  </si>
  <si>
    <t>011022005И</t>
  </si>
  <si>
    <t>01102S023И</t>
  </si>
  <si>
    <t>011021075М</t>
  </si>
  <si>
    <t>0190000000</t>
  </si>
  <si>
    <t>019012012О</t>
  </si>
  <si>
    <t>019012001К</t>
  </si>
  <si>
    <t>019012002К</t>
  </si>
  <si>
    <t>011011050Б</t>
  </si>
  <si>
    <t>05401S028Б</t>
  </si>
  <si>
    <t>021012004К</t>
  </si>
  <si>
    <t>061032004В</t>
  </si>
  <si>
    <t>Капитальный ремонт и ремонт дворовых территорий многоквартирных домов, проездов к дворовым территориям многоквартирных домов города Торжка</t>
  </si>
  <si>
    <t>01102S027И</t>
  </si>
  <si>
    <t>9900000000</t>
  </si>
  <si>
    <t>012012004Б</t>
  </si>
  <si>
    <t>Осуществление полномочий по составлению  списков кандидатов в присяжные заседатели федеральных судов общей юрисдикции в Российской Федерации</t>
  </si>
  <si>
    <t>Осуществление  государственных полномочий  на государственную регистрацию актов гражданского состояния</t>
  </si>
  <si>
    <t>Код БК РФ</t>
  </si>
  <si>
    <t>Финансовое обеспечение реализации государственных полномочий по созданию и организации деятельности комиссий по делам несовершеннолетних и защите их прав</t>
  </si>
  <si>
    <t>Обеспечение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 за счет средств областного бюджета</t>
  </si>
  <si>
    <t>0110100000</t>
  </si>
  <si>
    <t>0110200000</t>
  </si>
  <si>
    <t>Задача "Содействие развитию системы дошкольного образования в городе Торжке"</t>
  </si>
  <si>
    <t>Задача "Удовлетворение потребностей населения города Торжка в получении услуг общего образования"</t>
  </si>
  <si>
    <t>0110300000</t>
  </si>
  <si>
    <t>Задача "Обеспечение создания условий для воспитания гармонично развитой творческой личности в условиях современного социума"</t>
  </si>
  <si>
    <t>0120100000</t>
  </si>
  <si>
    <t>Задача "Создание условий для гражданского становления, эффективной социализации и самореализации молодых граждан"</t>
  </si>
  <si>
    <t>012022004И</t>
  </si>
  <si>
    <t>0120200000</t>
  </si>
  <si>
    <t>Задача "Профилактика безнадзорности и правонарушений несовершеннолетних"</t>
  </si>
  <si>
    <t>0190100000</t>
  </si>
  <si>
    <t>Обеспечение деятельности ответственного исполнителя программы</t>
  </si>
  <si>
    <t>0210100000</t>
  </si>
  <si>
    <t>Задача "Сохранение и развитие библиотечного дела в городе Торжке"</t>
  </si>
  <si>
    <t>0210200000</t>
  </si>
  <si>
    <t>Задача "Поддержка профессионального искусства и народного творчества в городе Торжке"</t>
  </si>
  <si>
    <t>0210300000</t>
  </si>
  <si>
    <t>Задача "Развитие художественного образования детей города Торжка"</t>
  </si>
  <si>
    <t>0310100000</t>
  </si>
  <si>
    <t>0310200000</t>
  </si>
  <si>
    <t>Задача "Развитие детско-юношеского спорта в системе муниципальных бюджетных учреждений дополнительного образования детей спортивной направленности"</t>
  </si>
  <si>
    <t>Задача "Развитие массового спорта и физкультурно-оздоровительного движения среди всех возрастных групп и категорий населения муниципального образования город Торжок"</t>
  </si>
  <si>
    <t>0390100000</t>
  </si>
  <si>
    <t>04201L020Б</t>
  </si>
  <si>
    <t>0420100000</t>
  </si>
  <si>
    <t>0430100000</t>
  </si>
  <si>
    <t>0530100000</t>
  </si>
  <si>
    <t>Задача "Развитие системы газоснабжения на территории города Торжка"</t>
  </si>
  <si>
    <t>0540100000</t>
  </si>
  <si>
    <t>Задача "Повышение благоустройства территории муниципального образования город Торжок"</t>
  </si>
  <si>
    <t>0540200000</t>
  </si>
  <si>
    <t>Задача "Улучшение состояния окружающей среды, повышение экологической культуры населения, снижение риска заболеваемости бешенством на территории города Торжка"</t>
  </si>
  <si>
    <t>0610100000</t>
  </si>
  <si>
    <t>Задача "Содержание автомобильных дорог общего пользования местного значения города Торжка и сооружений на них"</t>
  </si>
  <si>
    <t>0610200000</t>
  </si>
  <si>
    <t>Задача "Капитальный ремонт (ремонт) автомобильных дорог общего пользования местного значения города Торжка и сооружений на них, в том числе разработка проектной документации"</t>
  </si>
  <si>
    <t>0610300000</t>
  </si>
  <si>
    <t>Задача "Капитальный ремонт и ремонт дворовых территорий многоквартирных домов, проездов к дворовым территориям многоквартирных домов города Торжка"</t>
  </si>
  <si>
    <t>0620100000</t>
  </si>
  <si>
    <t>Задача "Создание условий по обеспечению охраны жизни, здоровья граждан, их законных прав на безопасные условия движения на улично-дорожной сети города Торжка"</t>
  </si>
  <si>
    <t>0890100000</t>
  </si>
  <si>
    <t>0810200000</t>
  </si>
  <si>
    <t>0820100000</t>
  </si>
  <si>
    <t>0820200000</t>
  </si>
  <si>
    <t>0850200000</t>
  </si>
  <si>
    <t>0840100000</t>
  </si>
  <si>
    <t>0710200000</t>
  </si>
  <si>
    <t>0710400000</t>
  </si>
  <si>
    <t>0720100000</t>
  </si>
  <si>
    <t>0860100000</t>
  </si>
  <si>
    <t>0860200000</t>
  </si>
  <si>
    <t>0850100000</t>
  </si>
  <si>
    <t>1090100000</t>
  </si>
  <si>
    <t>1010100000</t>
  </si>
  <si>
    <t>1030300000</t>
  </si>
  <si>
    <t>0910100000</t>
  </si>
  <si>
    <t>0990100000</t>
  </si>
  <si>
    <t>0910300000</t>
  </si>
  <si>
    <t>Задача "Создание положительного имиджа предпринимателей"</t>
  </si>
  <si>
    <t>Задача "Развитие молодежного предпринимательства"</t>
  </si>
  <si>
    <t>Задача "Развитие туристской инфраструктуры города Торжка"</t>
  </si>
  <si>
    <t>Задача "Формирование и поддержание позитивного имиджа муниципального образования город Торжок как города, благоприятного для инвестиционной и предпринимательской деятельности"</t>
  </si>
  <si>
    <t>Задача "Мониторинг социально-экономического развития муниципального образования город Торжок"</t>
  </si>
  <si>
    <t>Задача "Поддержка развития общественного сектора и обеспечение эффективного взаимодействия органов местного самоуправления с общественными институтами"</t>
  </si>
  <si>
    <t>Задача "Повышение статуса граждан, получивших признание за достижения в трудовой, общественной и иной деятельности"</t>
  </si>
  <si>
    <t xml:space="preserve">Задача "Социальная поддержка и улучшение качества жизни социально-уязвимых категорий граждан и граждан, оказавшихся в трудной жизненной и экстремальной ситуации, за счет развития адресных форм социальной помощи" </t>
  </si>
  <si>
    <t>Задача "Обеспечение информационной открытости органов местного самоуправления муниципального образования город Торжок"</t>
  </si>
  <si>
    <t>Задача "Комплексная автоматизация бюджетного процесса муниципального образования город Торжок, включая управление закупками и информационно-правовое обеспечение бюджетного процесса"</t>
  </si>
  <si>
    <t>Задача "Совершенствование кассового обслуживания исполнения бюджета муниципального образования"</t>
  </si>
  <si>
    <t>Задача "Повышение эффективности использования муниципального имущества, не закрепленного за юридическими лицами, за исключением земельных участков"</t>
  </si>
  <si>
    <t>Задача "Повышение эффективности использования муниципального имущества в части земельных участков"</t>
  </si>
  <si>
    <t>Обеспечение деятельности ответственного исполнителя и исполнителей программы</t>
  </si>
  <si>
    <t>Задача "Организационное обеспечение эффективного выполнения органами местного самоуправления возложенных на них функций"</t>
  </si>
  <si>
    <t>Обеспечение деятельности исполнителя программы</t>
  </si>
  <si>
    <t xml:space="preserve">Обеспечение деятельности исполнителя программы </t>
  </si>
  <si>
    <t>Задача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найма специализированных жилых помещений"</t>
  </si>
  <si>
    <t>Задача "Содействие в решении жилищных проблем молодых семей"</t>
  </si>
  <si>
    <t xml:space="preserve">Обеспечение деятельности  исполнителя программы </t>
  </si>
  <si>
    <t>04301R082Г</t>
  </si>
  <si>
    <t>01102S024Б</t>
  </si>
  <si>
    <t>Закупка товаров, работ и услуг для обеспечения государственных (муниципальных) нужд</t>
  </si>
  <si>
    <t>Задача "Повышение готовности органов местного самоуправления к защите населения и территорий от чрезвычайных ситуаций"</t>
  </si>
  <si>
    <t>9920000000</t>
  </si>
  <si>
    <t>021022007И</t>
  </si>
  <si>
    <t>Проведение противопожарных мероприятий и ремонтных работ бюджетным учреждением города Торжка в сфере осуществления культурно-досуговых мероприятий</t>
  </si>
  <si>
    <t>021032006И</t>
  </si>
  <si>
    <t>Содействие в материально-техническом оснащении и ремонте МБУ ДО "Детская школа искусств"</t>
  </si>
  <si>
    <t>0408</t>
  </si>
  <si>
    <t>Транспорт</t>
  </si>
  <si>
    <t>0620200000</t>
  </si>
  <si>
    <t>Задача "Создание условий по обеспечению максимально безопасных условий перевозки и наиболее полного и качественного удовлетворения спроса населения на транспортное обслуживание в городе Торжке"</t>
  </si>
  <si>
    <t>062022006Б</t>
  </si>
  <si>
    <t>Организация регулярных перевозок пассажиров по муниципальным маршрутам регулярных перевозок в муниципальном образовании город Торжок</t>
  </si>
  <si>
    <t>081022002Б</t>
  </si>
  <si>
    <t>Разработка проекта планировки и межевания территории под жилую застройку в районе ул. Гончарная в городе Торжке</t>
  </si>
  <si>
    <t>012012003И</t>
  </si>
  <si>
    <t>Содействие в материально-техническом оснащении и ремонте подростковых клубов</t>
  </si>
  <si>
    <t>011012008И</t>
  </si>
  <si>
    <t>Оснащение муниципальных бюджетных образовательных организаций, предоставляющих услуги дошкольного образования</t>
  </si>
  <si>
    <t>011022006И</t>
  </si>
  <si>
    <t>Приложение 7</t>
  </si>
  <si>
    <t>Демонтаж многоквартирных жилых домов, не подлежащих капитальному ремонту, в целях подготовки земельных участков под застройку</t>
  </si>
  <si>
    <t>091032050Б</t>
  </si>
  <si>
    <t>Мероприятия, не включенные в муниципальные программы муниципального образования город Торжок</t>
  </si>
  <si>
    <t>994002003Б</t>
  </si>
  <si>
    <t>Исполнение судебных актов</t>
  </si>
  <si>
    <t>011021894И</t>
  </si>
  <si>
    <t>Укрепление материально-технической базы муниципальных общеобразовательных организаций за счет средств областного бюджета</t>
  </si>
  <si>
    <t>054012008Б</t>
  </si>
  <si>
    <t>Разработка проектно-сметной документации и выполнение работ по благоустройству территории муниципального образования город Торжок</t>
  </si>
  <si>
    <t>081025391Б</t>
  </si>
  <si>
    <t>Осуществление органами местного самоуправления отдельных государственных полномочий Российской Федерации, переданных для осуществления органами исполнительной власти Тверской области по подготовке и проведению Всероссийской сельскохозяйственной переписи</t>
  </si>
  <si>
    <t>0130000000</t>
  </si>
  <si>
    <t>Подпрограмма "Социальная реабилитация детей, находящихся в конфликте с законом (совершивших правонарушения и преступления), профилактика безнадзорности и беспризорности детей, преступности несовершеннолетних, в том числе повторной</t>
  </si>
  <si>
    <t>0130100000</t>
  </si>
  <si>
    <t xml:space="preserve">Задача "Создание непрерывного комплексного социального сопровождения, социализации и реабилитации несовершеннолетних, склонных к совершению или совершивших правонарушения и преступления, а также безнадзорных несовершеннолетних" </t>
  </si>
  <si>
    <t>Реализация инновационного социального проекта муниципального образования город Торжок по комплексной социальной реабилитации и адаптации детей, находящихся в конфликте с законом, безнадзорных и беспризорных детей «Вам захочется жить по-другому!»</t>
  </si>
  <si>
    <t>013012001Б</t>
  </si>
  <si>
    <t>085011032С</t>
  </si>
  <si>
    <t>011021023И</t>
  </si>
  <si>
    <t xml:space="preserve">Субсидии юридическим лицам на возмещение части затрат, связанных с производством, выпуском и распространением периодического печатного издания (газеты), учредителем (соучредителем) которого является администрация  города Торжка за счет средств областного бюджета  </t>
  </si>
  <si>
    <t>011021023М</t>
  </si>
  <si>
    <t>Организация обеспечения учащихся начальных классов муниципальных общеобразовательных организаций  горячим питанием за счет средств областного бюджета</t>
  </si>
  <si>
    <t>Организация отдыха детей в каникулярное время за счет средств областного бюджета</t>
  </si>
  <si>
    <t>011021024Б</t>
  </si>
  <si>
    <t>011021024И</t>
  </si>
  <si>
    <t>Подпрограмма  "Социальная реабилитация детей, находящихся в конфликте с законом (совершивших правонарушения и преступления), профилактика безнадзорности и беспризорности детей, преступности несовершеннолетних, в том числе повторной "</t>
  </si>
  <si>
    <t>Реализация инновационного социального проекта муниципального образования город Торжок по комплексной социальной реабилитации и адаптации детей, находящихся в конфликте с законом, безнадзорных и беспризорных детей "Вам захочется жить по-другому!"</t>
  </si>
  <si>
    <t>Организация отдыха детей в каникулярное время за счет средств областного бюджета (частичное возмещение стоимости путевок)</t>
  </si>
  <si>
    <t>Подпрограмма "Социальная реабилитация детей, находящихся в конфликте с законом (совершивших правонарушения и преступления), профилактика безнадзорности и беспризорности детей, преступности несовершеннолетних, в том числе повторной"</t>
  </si>
  <si>
    <t>Реализация мероприятий по обращениям, поступающим к депутатам Законодательного Собрания Тверской области</t>
  </si>
  <si>
    <t>995001092Я</t>
  </si>
  <si>
    <t>Средства на реализацию мероприятий по обращениям, поступающим к депутатам Законодательного Собрания Тверской области</t>
  </si>
  <si>
    <t>9950000000</t>
  </si>
  <si>
    <t>054011028Б</t>
  </si>
  <si>
    <t>Проведение мероприятий по восстановлению воинских  захоронений за счет средств областного бюджета</t>
  </si>
  <si>
    <t>091012030Б</t>
  </si>
  <si>
    <t>Обследование жилого помещения (жилого дома) для признания пригодным (непригодным) для проживания</t>
  </si>
  <si>
    <t>1300</t>
  </si>
  <si>
    <t>Обслуживание государственного и муниципального долга</t>
  </si>
  <si>
    <t>1301</t>
  </si>
  <si>
    <t>Обслуживание государственного внутреннего и муниципального долга</t>
  </si>
  <si>
    <t>Подпрограмма "Обеспечение сбалансированности и финансовой устойчивости бюджета муниципального образования город Торжок"</t>
  </si>
  <si>
    <t>Обслуживание муниципального долга</t>
  </si>
  <si>
    <t>Обслуживание государственного (муниципального) долга</t>
  </si>
  <si>
    <t>1020000000</t>
  </si>
  <si>
    <t>102012001Б</t>
  </si>
  <si>
    <t>Итого:</t>
  </si>
  <si>
    <t>000 01 03 00 00 00 0000 000</t>
  </si>
  <si>
    <t>Бюджетные кредиты от других бюджетов бюджетной системы Российской Федерации</t>
  </si>
  <si>
    <t>000 01 03 01 00 00 0000 700</t>
  </si>
  <si>
    <t>Получение бюджетных кредитов от  других бюджетов бюджетной системы Российской Федерации в валюте Российской Федерации</t>
  </si>
  <si>
    <t>000 01 03 01 00 04 0000 710</t>
  </si>
  <si>
    <t>Получение кредитов от других бюджетов бюджетной системы Российской Федерации бюджетами городских округов в валюте Российской Федерации</t>
  </si>
  <si>
    <t>1020100000</t>
  </si>
  <si>
    <t>Задача "Достижение приемлемых и экономически обоснованных объема и структуры муниципального долга"</t>
  </si>
  <si>
    <t>0610400000</t>
  </si>
  <si>
    <t>Задача "Обеспечение развития транспортной инфраструктуры муниципального образования город Торжок"</t>
  </si>
  <si>
    <t>061042008Б</t>
  </si>
  <si>
    <t xml:space="preserve">Разработка программы комплексного развития транспортной инфраструктуры муниципального образования город Торжок </t>
  </si>
  <si>
    <t>0520000000</t>
  </si>
  <si>
    <t>Подпрограмма "Повышение надежности и эффективности функционирования объектов коммунального хозяйства города Торжка"</t>
  </si>
  <si>
    <t>0520200000</t>
  </si>
  <si>
    <t>Задача "Развитие коммунальной инфраструктуры города Торжка"</t>
  </si>
  <si>
    <t xml:space="preserve">Разработка схем водоснабжения и водоотведения муниципального образования город Торжок </t>
  </si>
  <si>
    <t>052022001Б</t>
  </si>
  <si>
    <t>Предоставление социальных выплат молодым семьям на улучшение жилищных условий за счет средств областного бюджета</t>
  </si>
  <si>
    <t>04201R020Б</t>
  </si>
  <si>
    <t>Предоставление социальных выплат молодым семьям на улучшение жилищных условий за счет средств федерального бюджета</t>
  </si>
  <si>
    <t>042015020Б</t>
  </si>
  <si>
    <t>021015144К</t>
  </si>
  <si>
    <t>Комплектование библиотечного фонда муниципального казенного учреждения культуры города Торжка за счет средств федерального бюджета</t>
  </si>
  <si>
    <t xml:space="preserve">Установка дорожных знаков на улично-дорожной сети города Торжка </t>
  </si>
  <si>
    <t>062012006Б</t>
  </si>
  <si>
    <t>089011057О</t>
  </si>
  <si>
    <t xml:space="preserve">Осуществление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</si>
  <si>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021012002К</t>
  </si>
  <si>
    <t>021012003К</t>
  </si>
  <si>
    <t xml:space="preserve">Укрепление материально-технической базы МКУК г. Торжка "Централизованная библиотечная система" </t>
  </si>
  <si>
    <t>Установка системы автоматической охранной сигнализации в МКУК г. Торжка "Централизованная библиотечная система"</t>
  </si>
  <si>
    <t>071042001Б</t>
  </si>
  <si>
    <t>Содействие развитию Делового информационно-образовательного центра города Торжка</t>
  </si>
  <si>
    <t>011032001И</t>
  </si>
  <si>
    <t>Обеспечение комплексной безопасности зданий и помещений муниципальных бюджетных  учреждений дополнительного образования детей</t>
  </si>
  <si>
    <t>021022005И</t>
  </si>
  <si>
    <t>Укрепление материально-технической базы МБУ "Городской Дом культуры"</t>
  </si>
  <si>
    <t>Наименование публичного 
нормативного обязательства</t>
  </si>
  <si>
    <t>Реквизиты нормативного правового акта</t>
  </si>
  <si>
    <t>Код расходов по БК</t>
  </si>
  <si>
    <t>вид</t>
  </si>
  <si>
    <t>дата</t>
  </si>
  <si>
    <t>номер</t>
  </si>
  <si>
    <t>наименование</t>
  </si>
  <si>
    <t>ЦСР</t>
  </si>
  <si>
    <t>ВР</t>
  </si>
  <si>
    <t>Решение Торжокской городской Думы</t>
  </si>
  <si>
    <t xml:space="preserve"> "О Положении о  порядке назначения и выплаты пенсии за выслугу лет к трудовой пенсии по старости (инвалидности) лицам, замещавшим должности муниципальной службы муниципального образования город Торжок"</t>
  </si>
  <si>
    <t>Меры социальной поддержки для лиц, удостоенных  звания "Почетный гражданин города Торжка"</t>
  </si>
  <si>
    <t>О Положении о звании "Почетный гражданин города Торжка"</t>
  </si>
  <si>
    <t>Субсидии на организацию отдыха детей в каникулярное время</t>
  </si>
  <si>
    <t>Субсидии на проведение работ по восстановлению воинских захоронений</t>
  </si>
  <si>
    <t>Утверждено решением о бюджете</t>
  </si>
  <si>
    <t>Кассовое исполнение</t>
  </si>
  <si>
    <t xml:space="preserve">муниципального образования город Торжок за 2016 год </t>
  </si>
  <si>
    <t xml:space="preserve"> расходов бюджетов за 2016 год </t>
  </si>
  <si>
    <t xml:space="preserve">Ведомственная структура расходов бюджета муниципального образования  город Торжок  за 2016 год </t>
  </si>
  <si>
    <t>Приложение 8</t>
  </si>
  <si>
    <t xml:space="preserve">Распределение бюджетных ассигнований бюджета муниципального образования город Торжок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за 2016 год </t>
  </si>
  <si>
    <t>Приложение 9</t>
  </si>
  <si>
    <t>Приложение 10</t>
  </si>
  <si>
    <t xml:space="preserve">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за 2016 год </t>
  </si>
  <si>
    <t>Приложение 11</t>
  </si>
  <si>
    <t xml:space="preserve">Распределение бюджетных ассигнований по целевым статьям (муниципальным программам и непрограммным направлениям деятельности)  и главным распорядителям средств бюджета муниципального образования город Торжок  за 2016 год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</si>
  <si>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</si>
  <si>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Тверской области</t>
  </si>
  <si>
    <t>Субвенции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</si>
  <si>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t>
  </si>
  <si>
    <t>Субвенции на осуществление  полномочий по составлению списков кандидатов в присяжные заседатели федеральных судов общей юрисдикции в Российской Федерации</t>
  </si>
  <si>
    <t>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</si>
  <si>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Субвенции на осуществление государственных полномочий на государственную регистрацию актов гражданского состояния</t>
  </si>
  <si>
    <t>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</si>
  <si>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 xml:space="preserve">Субвенции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 </t>
  </si>
  <si>
    <t xml:space="preserve"> Комитет по управлению имуществом муниципального образования город Торжок Тверской области</t>
  </si>
  <si>
    <t xml:space="preserve">Субсидии на укрепление материально-технической базы муниципальных общеобразовательных организаций </t>
  </si>
  <si>
    <t>Субвенции на осуществление органами местного самоуправления отдельных государственных полномочий Российской Федерации, переданных для осуществления органами исполнительной власти Тверской области по подготовке и проведению Всероссийской сельскохозяйственной переписи</t>
  </si>
  <si>
    <t>Субсидии на реализацию расходных обязательств муниципальных образований Тверской области по поддержке редакций районных и городских газет</t>
  </si>
  <si>
    <t>Субсидии на организацию обеспечения учащихся начальных классов муниципальных общеобразовательных организаций горячим питанием</t>
  </si>
  <si>
    <t>Прочие межбюджетные трансферты  на реализацию мероприятий по обращениям, поступающим к депутатам Законодательного Собрания Тверской области</t>
  </si>
  <si>
    <t>Субсидии на обеспечение жильем молодых семей за счет средств областного бюджета</t>
  </si>
  <si>
    <t>Субсидии на обеспечение жильем молодых семей за счет средств федерального бюджета</t>
  </si>
  <si>
    <t xml:space="preserve">Иные межбюджетные трансферты на комплектование книжных фондов библиотек муниципальных образований </t>
  </si>
  <si>
    <t xml:space="preserve">Субвенции на осуществление органами местного самоуправления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</si>
  <si>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Приложение 12</t>
  </si>
  <si>
    <t xml:space="preserve">Распределение межбюджетных субсидий,субвенций и иных межбюджетных трансфертов, имеющих целевое назначение,  по целевым статьям (муниципальным программам и непрограммным направлениям деятельности)  и главным распорядителям средств бюджета муниципального образования город Торжок  
за 2016 год  </t>
  </si>
  <si>
    <t xml:space="preserve">Приложение 13
</t>
  </si>
  <si>
    <t xml:space="preserve">Общий объем бюджетных ассигнований, направляемых  на исполнение публичных нормативных обязательств муниципального образования город Торжок за 2016 год </t>
  </si>
  <si>
    <t xml:space="preserve">Адресная инвестиционная программа </t>
  </si>
  <si>
    <t>№ п/п</t>
  </si>
  <si>
    <t xml:space="preserve">Наименование </t>
  </si>
  <si>
    <t xml:space="preserve">Бюджетополучатель    </t>
  </si>
  <si>
    <t xml:space="preserve">Раздел и подраздел бюджетной классификации расходов </t>
  </si>
  <si>
    <t xml:space="preserve">средства местного бюджета </t>
  </si>
  <si>
    <t xml:space="preserve">средства областного бюджета Тверской области </t>
  </si>
  <si>
    <t>средства федерального бюджета</t>
  </si>
  <si>
    <t>всего</t>
  </si>
  <si>
    <t>х</t>
  </si>
  <si>
    <t>1.1.</t>
  </si>
  <si>
    <t>1.1.1.</t>
  </si>
  <si>
    <t>Администрация муниципального образования город Торжок</t>
  </si>
  <si>
    <t xml:space="preserve">2. </t>
  </si>
  <si>
    <t>2.1.</t>
  </si>
  <si>
    <t>2.1.1.</t>
  </si>
  <si>
    <t>Приобретение в муниципальную собственность жилых помещений</t>
  </si>
  <si>
    <t xml:space="preserve">Приложение 14 </t>
  </si>
  <si>
    <t>муниципального образования город Торжок за 2016 год</t>
  </si>
  <si>
    <t xml:space="preserve">РАЗДЕЛ 1. Привлечение и погашение заёмных средств по кредитным договорам </t>
  </si>
  <si>
    <t>1.1. Привлечение заёмных средств :</t>
  </si>
  <si>
    <t>Привлечение заемных средств в 2016 году.</t>
  </si>
  <si>
    <t>№ 
п/п</t>
  </si>
  <si>
    <t>источники</t>
  </si>
  <si>
    <t xml:space="preserve">Бюджетные кредиты, полученные из областного бюджета </t>
  </si>
  <si>
    <t>ИТОГО:</t>
  </si>
  <si>
    <t>1.2. Погашение долговых обязательств в 2016 году.</t>
  </si>
  <si>
    <t>долговые обязательства</t>
  </si>
  <si>
    <t>Кредитные соглашения и договоры заключённые от имени муниципального образования</t>
  </si>
  <si>
    <t>Приложение 15</t>
  </si>
  <si>
    <t xml:space="preserve">ПРОГРАММА
  внутренних заимствований муниципального образования город Торжок за 2016 год  
</t>
  </si>
  <si>
    <t>тыс. руб.</t>
  </si>
  <si>
    <t xml:space="preserve">Молодежная политика </t>
  </si>
  <si>
    <t>Молодежная политика</t>
  </si>
  <si>
    <t>Доходы бюджета муниципального образования город Торжок за 2016 год по кодам видов доходов, подвидов доходов, классификации операций сектора государственного управления, относящихся  к доходам бюджета</t>
  </si>
  <si>
    <t>Наименование показателя</t>
  </si>
  <si>
    <t>Коды классификации доходов по видам, подвидам, операциям сектора государственного управления</t>
  </si>
  <si>
    <t>Исполнено,  тыс.руб.</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</si>
  <si>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</si>
  <si>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101 02010 01 1000 110</t>
  </si>
  <si>
    <t>101 02010 01 2100 110</t>
  </si>
  <si>
    <t>101 02010 01 3000 110</t>
  </si>
  <si>
    <t>101 02010 01 4000 110</t>
  </si>
  <si>
    <t>101 02010 01 5000 110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</si>
  <si>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</si>
  <si>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101 02020 01 1000 110</t>
  </si>
  <si>
    <t>101 02020 01 2100 110</t>
  </si>
  <si>
    <t>101 02020 01 3000 110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</si>
  <si>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</si>
  <si>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101 02030 01 1000 110</t>
  </si>
  <si>
    <t>101 02030 01 2100 110</t>
  </si>
  <si>
    <t>101 02030 01 3000 110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</si>
  <si>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</si>
  <si>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</si>
  <si>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</si>
  <si>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</si>
  <si>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</si>
  <si>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</si>
  <si>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</si>
  <si>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103 02260 01 0000 110</t>
  </si>
  <si>
    <t>Единый налог на вмененный доход для отдельных видов деятельности</t>
  </si>
  <si>
    <t>105 02010 02 1000 110</t>
  </si>
  <si>
    <t>105 02010 02 2100 110</t>
  </si>
  <si>
    <t>105 02010 02 3000 110</t>
  </si>
  <si>
    <t>Единый налог на вмененный доход для отдельных видов деятельности (за налоговые периоды, истекшие до 1 января 2011 года)</t>
  </si>
  <si>
    <t>105 02020 02 1000 110</t>
  </si>
  <si>
    <t>105 02020 02 2100 110</t>
  </si>
  <si>
    <t>105 02020 02 3000 110</t>
  </si>
  <si>
    <t>Единый сельскохозяйственный налог</t>
  </si>
  <si>
    <t>105 03010 01 1000 110</t>
  </si>
  <si>
    <t>Налог, взимаемый в связи с применением патентной системы налогообложения, зачисляемый в бюджеты городских округов</t>
  </si>
  <si>
    <t>105 04010 02 1000 110</t>
  </si>
  <si>
    <t>105 04010 02 2100 110</t>
  </si>
  <si>
    <t>105 04010 02 4000 110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</si>
  <si>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</si>
  <si>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106 01020 04 1000 110</t>
  </si>
  <si>
    <t>106 01020 04 2100 110</t>
  </si>
  <si>
    <t>106 01020 04 4000 110</t>
  </si>
  <si>
    <t>Земельный налог с организаций, обладающих земельным участком, расположенным в границах городских округов</t>
  </si>
  <si>
    <t>106 06032 04 1000 110</t>
  </si>
  <si>
    <t>106 06032 04 2100 110</t>
  </si>
  <si>
    <t>106 06032 04 3000 110</t>
  </si>
  <si>
    <t>106 06032 04 4000 110</t>
  </si>
  <si>
    <t>Земельный налог с физических лиц, обладающих земельным участком, расположенным в границах городских округов</t>
  </si>
  <si>
    <t>106 06042 04 1000 110</t>
  </si>
  <si>
    <t>106 06042 04 2100 110</t>
  </si>
  <si>
    <t>106 06042 04 3000 110</t>
  </si>
  <si>
    <t>106 06042 04 4000 110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</si>
  <si>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</si>
  <si>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108 03010 01 1000 110</t>
  </si>
  <si>
    <t>Государственная пошлина за выдачу разрешения на установку рекламной конструкции</t>
  </si>
  <si>
    <t>108 07150 01 1000 110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</si>
  <si>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</si>
  <si>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111 05012 04 0000 120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</si>
  <si>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</si>
  <si>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111 05024 04 0000 120</t>
  </si>
  <si>
    <t>Доходы от сдачи в аренду имущества, составляющего  казну городских округов (за исключением земельных участков)</t>
  </si>
  <si>
    <t>111 05074 04 0000 120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</si>
  <si>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</si>
  <si>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111 07014 04 0000 120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</si>
  <si>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</si>
  <si>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111 09044 04 0000 120</t>
  </si>
  <si>
    <t>Плата за выбросы загрязняющих веществ в атмосферный воздух стационарными объектами</t>
  </si>
  <si>
    <t>112 01010 01 6000 120</t>
  </si>
  <si>
    <t>Плата за выбросы загрязняющих веществ в атмосферный воздух передвижными  объектами</t>
  </si>
  <si>
    <t>112 01020 01 6000 120</t>
  </si>
  <si>
    <t>Плата за сбросы загрязняющих веществ в водные объекты</t>
  </si>
  <si>
    <t>112 01030 01 6000 120</t>
  </si>
  <si>
    <t>Плата за размещение отходов производства и потребления</t>
  </si>
  <si>
    <t>112 01040 01 6000 120</t>
  </si>
  <si>
    <t>Прочие доходы от оказания платных услуг (работ) получателями средств бюджетов городских округов</t>
  </si>
  <si>
    <t>113 01994 04 0000 130</t>
  </si>
  <si>
    <t>Прочие доходы от компенсации затрат бюджетов городских округов</t>
  </si>
  <si>
    <t>113 02994 04 0000 130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</si>
  <si>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</si>
  <si>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114 02043 04 0000 410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</si>
  <si>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</si>
  <si>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114 02042 04 0000 440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</si>
  <si>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</si>
  <si>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114 06012 04 0000 430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</si>
  <si>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</si>
  <si>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116 03010 01 6000 140</t>
  </si>
  <si>
    <t>Денежные взыскания (штрафы) за административные правонарушения в области налогов и сборов, предусмотренные Кодеском Российской Федерации об административных правонарушениях</t>
  </si>
  <si>
    <t>116 03030 01 6000 140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</si>
  <si>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</si>
  <si>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116 06000 01 6000 140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</si>
  <si>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</si>
  <si>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116 08010 01 6000 140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</si>
  <si>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</si>
  <si>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116 23041 04 0000 140</t>
  </si>
  <si>
    <t>Денежные взыскания (штрафы) за нарушение земельного законодательства</t>
  </si>
  <si>
    <t>116 25060 01 6000 140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</si>
  <si>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</si>
  <si>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116 28000 01 6000 140</t>
  </si>
  <si>
    <t>Прочие денежные взыскания (штрафы) за правонарушения в области дорожного движения</t>
  </si>
  <si>
    <t>116 30030 01 6000 140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</si>
  <si>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</si>
  <si>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116 33040 04 6000 140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</si>
  <si>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</si>
  <si>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116 37030 04 0000 140</t>
  </si>
  <si>
    <t>Денежные взыскания (штрафы) за нарушения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</si>
  <si>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116 43000 01 6000 140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</si>
  <si>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</si>
  <si>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116 51020 02 0000 140</t>
  </si>
  <si>
    <t>Прочие поступления от денежных взысканий (штрафов) и иных сумм в возмещение ущерба, зачисляемые в бюджеты городских округов</t>
  </si>
  <si>
    <t>116 90040 04 0000 140</t>
  </si>
  <si>
    <t>Дотации бюджетам городских округов на поддержку мер по обеспечению сбалансированности бюджетов</t>
  </si>
  <si>
    <t>202 01003 04 0000 151</t>
  </si>
  <si>
    <t>Субсидии бюджетам городских округов на обеспечение жильем молодых семей</t>
  </si>
  <si>
    <t>202 02008 04 0000 151</t>
  </si>
  <si>
    <t>Субсидии бюджетам городских округов на реализацию федеральных целевых программ</t>
  </si>
  <si>
    <t>202 02051 04 0000 151</t>
  </si>
  <si>
    <t>Субсидии  на организацию обеспечения учащихся начальных классов муниципальных общеобразовательных учреждений горячим питанием</t>
  </si>
  <si>
    <t>202 02999 04 2012 151</t>
  </si>
  <si>
    <t>Субсидии  на проведение работ по восстановлению воинских захоронений</t>
  </si>
  <si>
    <t>202 02999 04 2043 151</t>
  </si>
  <si>
    <t>Субсидии на поддержку редакций районных и городских газет</t>
  </si>
  <si>
    <t>202 02999 04 2049 151</t>
  </si>
  <si>
    <t>202 02999 04 2071 151</t>
  </si>
  <si>
    <t xml:space="preserve">Субвенции  бюджетам городских округов на  государственную регистрацию актов гражданского состояния </t>
  </si>
  <si>
    <t>202 03003 04 0000 151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</si>
  <si>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</si>
  <si>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202 03007 04 0000 151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</si>
  <si>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</si>
  <si>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202 03029 04 0000 151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</si>
  <si>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</si>
  <si>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202 03119 04 0000 151</t>
  </si>
  <si>
    <t>Субвенции бюджетам городских округов на проведение Всероссийской сельскохозяйственной переписи в 2016 году</t>
  </si>
  <si>
    <t>202 03121 04 0000 151</t>
  </si>
  <si>
    <t>Субвенции на осуществление государственных полномочий по созданию,  исполнению полномочий и обеспечению деятельности комиссий по делам несовершеннолетних</t>
  </si>
  <si>
    <t>202 03999 04 2015 151</t>
  </si>
  <si>
    <t>Субвенции на обеспечение государственных гарантий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</si>
  <si>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202 03999 04 2016 151</t>
  </si>
  <si>
    <t>Субвенции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</si>
  <si>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202 03999 04 2114 151</t>
  </si>
  <si>
    <t>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t>
  </si>
  <si>
    <t>202 03999 04 2151 151</t>
  </si>
  <si>
    <t>Субвенции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t>
  </si>
  <si>
    <t>202 03999 04 2153 151</t>
  </si>
  <si>
    <t>Субвенции муниципальным образованиям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</si>
  <si>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202 03999 04 2192 151</t>
  </si>
  <si>
    <t>Межбюджетные трансферты, передаваемые бюджетам городских округов на комплектование книжных фондов библиотек муниципальных образований</t>
  </si>
  <si>
    <t>202 04025 04 0000 151</t>
  </si>
  <si>
    <t>Прочие межбюджетные трансферты, передаваемые бюджетам на реализацию мероприятий по обращениям, поступающим к депутатам Законодательного Собрания Тверской области</t>
  </si>
  <si>
    <t>202 04999 04 2164 151</t>
  </si>
  <si>
    <t>Предоставление негосударственными организациями грантов для получателей средств бюджетов городских округов</t>
  </si>
  <si>
    <t>204 04010 04 0000 180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</si>
  <si>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</si>
  <si>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207 04010 04 0000 180</t>
  </si>
  <si>
    <t xml:space="preserve">Прочие безвозмездные поступления в бюджеты городских округов </t>
  </si>
  <si>
    <t>207 04050 04 0000 180</t>
  </si>
  <si>
    <t>Доходы бюджетов городских округов от возврата бюджетными учреждениями остатков субсидий прошлых лет</t>
  </si>
  <si>
    <t>218 04010 04 0000 180</t>
  </si>
  <si>
    <t>Возврат остатков субсидий, субвенций и иных межбюджетных трансфертов, имеющих целевое назначение, прошлых лет из бюджетов городских округов</t>
  </si>
  <si>
    <t>219 04000 04 0000 151</t>
  </si>
  <si>
    <t>Поступление доходов бюджета муниципального образования город Торжок по группам, подгруппам, 
статьям, подстатьям и элементам доходов классификации доходов 
бюджетов  Российской Федерации за 2016 год</t>
  </si>
  <si>
    <t>Код БК</t>
  </si>
  <si>
    <t xml:space="preserve">Утверждено  решением о бюджете </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</si>
  <si>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</si>
  <si>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</si>
  <si>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</si>
  <si>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</si>
  <si>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</si>
  <si>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</si>
  <si>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000 1 01 02010 01 0000 110</t>
  </si>
  <si>
    <t>000 1 01 02020 01 0000 110</t>
  </si>
  <si>
    <t>000 1 01 02030 01 0000 110</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</si>
  <si>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</si>
  <si>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</si>
  <si>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</si>
  <si>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</si>
  <si>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</si>
  <si>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000 1 03 02240 01 0000 110</t>
  </si>
  <si>
    <t>000 1 03 02250 01 0000 110</t>
  </si>
  <si>
    <t>000 1 03 02260 01 0000 110</t>
  </si>
  <si>
    <t>000 1 05 00000 00 0000 000</t>
  </si>
  <si>
    <t>НАЛОГИ НА СОВОКУПНЫЙ ДОХОД</t>
  </si>
  <si>
    <t>000 1 05 02000 02 0000 110</t>
  </si>
  <si>
    <t>000 1 05 02010 02 0000 110</t>
  </si>
  <si>
    <t>000 1 05 02020 02 0000 110</t>
  </si>
  <si>
    <t>000 1 05 03000 01 0000 110</t>
  </si>
  <si>
    <t>000 1 05 03010 01 0000 110</t>
  </si>
  <si>
    <t>000 1 05 04000 02 0000 110</t>
  </si>
  <si>
    <t>Налог, взимаемый в связи с применением патентной системы налогообложения</t>
  </si>
  <si>
    <t>000 1 05 04010 02 0000 110</t>
  </si>
  <si>
    <t>000 1 06 00000 00 0000 000</t>
  </si>
  <si>
    <t>НАЛОГИ НА ИМУЩЕСТВО</t>
  </si>
  <si>
    <t>000 1 06 01000 00 0000 110</t>
  </si>
  <si>
    <t>Налог на имущество физических лиц</t>
  </si>
  <si>
    <t>000 1 06 01020 04 0000 110</t>
  </si>
  <si>
    <t>000 1 06 06000 00 0000 110</t>
  </si>
  <si>
    <t>Земельный налог</t>
  </si>
  <si>
    <t>000 1 06 06030 00 0000 110</t>
  </si>
  <si>
    <t>Земельный налог с организаций</t>
  </si>
  <si>
    <t>000 1 06 06032 04 0000 110</t>
  </si>
  <si>
    <t>000 1 06 06040 00 0000 110</t>
  </si>
  <si>
    <t>Земельный налог с физических лиц</t>
  </si>
  <si>
    <t>000 1 06 06042 04 0000 110</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</si>
  <si>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</si>
  <si>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</si>
  <si>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</si>
  <si>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</si>
  <si>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</si>
  <si>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</si>
  <si>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</si>
  <si>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</si>
  <si>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</si>
  <si>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</si>
  <si>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</si>
  <si>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</si>
  <si>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</si>
  <si>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</si>
  <si>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000 1 11 05012 04 0000 120</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</si>
  <si>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</si>
  <si>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</si>
  <si>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000 1 11 05024 04 0000 120</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</si>
  <si>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</si>
  <si>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</si>
  <si>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000 1 11 05074 04 0000 120</t>
  </si>
  <si>
    <t>000 1 11 07000 00 0000 120</t>
  </si>
  <si>
    <t>Платежи от государственных и муниципальных унитарных предприятий</t>
  </si>
  <si>
    <t>000 1 11 07010 00 0000 120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</si>
  <si>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</si>
  <si>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000 1 11 07014 04 0000 120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</si>
  <si>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</si>
  <si>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</si>
  <si>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</si>
  <si>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</si>
  <si>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000 1 11 09044 04 0000 120</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</si>
  <si>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</si>
  <si>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</si>
  <si>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</si>
  <si>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</si>
  <si>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</si>
  <si>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000 1 12 01020 01 0000 120</t>
  </si>
  <si>
    <t>000 1 12 01030 01 0000 120</t>
  </si>
  <si>
    <t>000 1 12 01040 01 0000 120</t>
  </si>
  <si>
    <t>000 1 13 00000 00 0000 000</t>
  </si>
  <si>
    <t>ДОХОДЫ ОТ ОКАЗАНИЯ ПЛАТНЫХ УСЛУГ (РАБОТ) И КОМПЕНСАЦИИ ЗАТРАТ ГОСУДАРСТВА</t>
  </si>
  <si>
    <t>000 1 13 01000 00 0000 130</t>
  </si>
  <si>
    <t>Доходы от оказания платных услуг (работ)</t>
  </si>
  <si>
    <t>000 1 13 01990 00 0000 130</t>
  </si>
  <si>
    <t>Прочие доходы от оказания платных услуг (работ)</t>
  </si>
  <si>
    <t>000 1 13 01994 04 0000 130</t>
  </si>
  <si>
    <t>000 1 13 02000 00 0000 130</t>
  </si>
  <si>
    <t>Доходы от компенсации затрат государства</t>
  </si>
  <si>
    <t>000 1 13 02990 00 0000 130</t>
  </si>
  <si>
    <t>Прочие доходы от компенсации затрат государства</t>
  </si>
  <si>
    <t>000 1 13 02994 04 0000 130</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</si>
  <si>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</si>
  <si>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</si>
  <si>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</si>
  <si>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</si>
  <si>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</si>
  <si>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</si>
  <si>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</si>
  <si>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000 1 14 02040 04 0000 440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</si>
  <si>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</si>
  <si>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000 1 14 02042 04 0000 440</t>
  </si>
  <si>
    <t>000 1 14 06000 00 0000 430</t>
  </si>
  <si>
    <t xml:space="preserve">Доходы от продажи земельных участков, находящихся в государственной и муниципальной собственности </t>
  </si>
  <si>
    <t>000 1 14 06010 00 0000 430</t>
  </si>
  <si>
    <t>Доходы от продажи земельных участков, государственная собственность на которые не разграничена</t>
  </si>
  <si>
    <t>000 1 14  06012 04 0000 430</t>
  </si>
  <si>
    <t>000 1 16 00000 00 0000 000</t>
  </si>
  <si>
    <t>ШТРАФЫ,  САНКЦИИ,  ВОЗМЕЩЕНИЕ УЩЕРБА</t>
  </si>
  <si>
    <t>000 1 16 03000 00 0000 140</t>
  </si>
  <si>
    <t>Денежные взыскания (штрафы) за нарушение законодательства о налогах и сборах</t>
  </si>
  <si>
    <t>000 1 16 03010 01 0000 140</t>
  </si>
  <si>
    <t>000 1 16 03030 01 0000 140</t>
  </si>
  <si>
    <t>000 1 16 06000 01 0000 140</t>
  </si>
  <si>
    <t>000 1 16 08000 01 0000 140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</si>
  <si>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</si>
  <si>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000 1 16 08010 01 0000 140</t>
  </si>
  <si>
    <t>000 1 16 08020 01 0000 140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</si>
  <si>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</si>
  <si>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000 1 16 23000 00 0000 140</t>
  </si>
  <si>
    <t>Доходы от возмещения ущерба при возникновении страховых случаев</t>
  </si>
  <si>
    <t>000 1 16 23040 04 0000 140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</si>
  <si>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</si>
  <si>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000 1 16 23041 04 0000 140</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</si>
  <si>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</si>
  <si>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</si>
  <si>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000 1 16 25060 01 0000 140</t>
  </si>
  <si>
    <t>000 1 16 28000 01 0000 140</t>
  </si>
  <si>
    <t>000 1 16 30000 01 0000 140</t>
  </si>
  <si>
    <t>Денежные взыскания (штрафы) за правонарушения в области дорожного движения</t>
  </si>
  <si>
    <t>000 1 16 30030 01 0000 140</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</si>
  <si>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</si>
  <si>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</si>
  <si>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000 1 16 33040 04 0000 140</t>
  </si>
  <si>
    <t>000 1 16 37000 00 0000 140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</si>
  <si>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</si>
  <si>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000 11 6 37030 04 0000 140</t>
  </si>
  <si>
    <t>000 1 16 43000 01 0000 140</t>
  </si>
  <si>
    <t>000 116 51000 02 0000 140</t>
  </si>
  <si>
    <t>Денежные взыскания (штрафы), установленные законами субъектов Российской Федерации за несоблюдение муниципальных правовых актов</t>
  </si>
  <si>
    <t>000 116 51020 02 0000 140</t>
  </si>
  <si>
    <t>000 1 16 90000 00 0000 140</t>
  </si>
  <si>
    <t>Прочие поступления от денежных взысканий (штрафов) и иных сумм в возмещение ущерба</t>
  </si>
  <si>
    <t>000 1 16 90040 04 0000 140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</si>
  <si>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</si>
  <si>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</si>
  <si>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</si>
  <si>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</si>
  <si>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</si>
  <si>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 бюджетам бюджетной системы Российской Федерации</t>
  </si>
  <si>
    <t>000 2 02 01003 00  0000 151</t>
  </si>
  <si>
    <t>Дотации бюджетам на поддержку мер по обеспечению сбалансированности бюджетов</t>
  </si>
  <si>
    <t>000 2 02 01003 04  0000 151</t>
  </si>
  <si>
    <t>000 2 02 02000 00 0000 151</t>
  </si>
  <si>
    <t>Субсидии бюджетам бюджетной системы Российской Федерации (межбюджетные субсидии)</t>
  </si>
  <si>
    <t>000 2 02 02008 00 0000 151</t>
  </si>
  <si>
    <t>Субсидии бюджетам на обеспечение жильем молодых семей</t>
  </si>
  <si>
    <t>000 2 02 02008 04 0000 151</t>
  </si>
  <si>
    <t>000 2 02 02051 00 0000 151</t>
  </si>
  <si>
    <t>Субсидии бюджетам на реализацию федеральных целевых программ</t>
  </si>
  <si>
    <t>000 2 02 02051 04 0000 151</t>
  </si>
  <si>
    <t>000 2 02 02999 00 0000 151</t>
  </si>
  <si>
    <t>Прочие субсидии</t>
  </si>
  <si>
    <t>000 2 02 02999 04 0000 151</t>
  </si>
  <si>
    <t>000 2 02 03000 00 0000 151</t>
  </si>
  <si>
    <t>Субвенции бюджетам бюджетной системы Российской Федерации</t>
  </si>
  <si>
    <t>000 2 02 03003 00 0000 151</t>
  </si>
  <si>
    <t xml:space="preserve">Субвенции  бюджетам на  государственную регистрацию актов гражданского состояния </t>
  </si>
  <si>
    <t>000 2 02 03003 04 0000 151</t>
  </si>
  <si>
    <t>000 2 02 03007 00  0000 151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</si>
  <si>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</si>
  <si>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000 2 02 03007 04  0000 151</t>
  </si>
  <si>
    <t>000 2 02 03029 00 0000 151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</si>
  <si>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</si>
  <si>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000 2 02 03029 04 0000 151</t>
  </si>
  <si>
    <t>000 2 02 03119 00 0000 151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</si>
  <si>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</si>
  <si>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000 2 02 03119 04 0000 151</t>
  </si>
  <si>
    <t>000 2 02 03121 00 0000 151</t>
  </si>
  <si>
    <t>Субвенции бюджетам на проведение Всероссийской сельскохозяйственной переписи в 2016 году</t>
  </si>
  <si>
    <t>000 2 02 03121 04 0000 151</t>
  </si>
  <si>
    <t>000 2 02 03999 00 0000 151</t>
  </si>
  <si>
    <t>Прочие субвенции</t>
  </si>
  <si>
    <t>000 2 02 03999 04 0000 151</t>
  </si>
  <si>
    <t>Субвенции бюджетам на обеспечение государственных гарантий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</si>
  <si>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t>
  </si>
  <si>
    <t>Субвенции на осуществление  государственных полномочий по созданию, исполнению полномочий и обеспечению деятельности комиссий по делам несовершеннолетних</t>
  </si>
  <si>
    <t>000 2 02 04000 00 0000 151</t>
  </si>
  <si>
    <t>Иные межбюджетные трансферты</t>
  </si>
  <si>
    <t>000 2 02 04025 00 0000 151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</si>
  <si>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</si>
  <si>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000 2 02 04025 04 0000 151</t>
  </si>
  <si>
    <t>000 2 02 04999 00 0000 151</t>
  </si>
  <si>
    <t>Прочие межбюджетные трансферты, передаваемые бюджетам</t>
  </si>
  <si>
    <t>000 2 02 04999 04 0000 151</t>
  </si>
  <si>
    <t>000 2 04 00000 00 0000 000</t>
  </si>
  <si>
    <t>БЕЗВОЗМЕЗДНЫЕ ПОСТУПЛЕНИЯ ОТ НЕГОСУДАРСТВЕННЫХ ОРГАНИЗАЦИЙ</t>
  </si>
  <si>
    <t>000 2 04 04000 04 0000 180</t>
  </si>
  <si>
    <t>Безвозмездные поступления от негосударственных организаций в бюджеты городских округов</t>
  </si>
  <si>
    <t>000 2 04 04010 04 0000 180</t>
  </si>
  <si>
    <t>000 2 07 00000 00 0000 000</t>
  </si>
  <si>
    <t>ПРОЧИЕ БЕЗВОЗМЕЗДНЫЕ ПОСТУПЛЕНИЯ</t>
  </si>
  <si>
    <t>000 2 07 04000 04 0000 180</t>
  </si>
  <si>
    <t>Прочие безвозмездные поступления в бюджеты городских округов</t>
  </si>
  <si>
    <t>000 2 07 04010 04 0000 180</t>
  </si>
  <si>
    <t>000 2 07 04050 04 0000 180</t>
  </si>
  <si>
    <t>000 2 18 00000 00 0000 000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</si>
  <si>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</si>
  <si>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000 2 18 00000 00 0000 180</t>
  </si>
  <si>
    <t>Доходы бюджетов бюджетной системы Российской Федерации от возврата организациями остатков субсидий прошлых лет</t>
  </si>
  <si>
    <t>000 2 18 04000 04 0000 180</t>
  </si>
  <si>
    <t>Доходы бюджетов городских округов от возврата организациями остатков субсидий прошлых лет</t>
  </si>
  <si>
    <t>000 2 18 04010 04 0000 180</t>
  </si>
  <si>
    <t>000 2 19 00000 00 0000 000</t>
  </si>
  <si>
    <t>ВОЗВРАТ ОСТАТКОВ СУБСИДИЙ, СУБВЕНЦИЙ И ИНЫХ МЕЖБЮДЖЕТНЫХ ТРАНСФЕРТОВ, ИМЕЮЩИХ ЦЕЛЕВОЕ НАЗНАЧЕНИЕ, ПРОШЛЫХ ЛЕТ</t>
  </si>
  <si>
    <t>000 2 19 04000 04 0000 151</t>
  </si>
  <si>
    <t>ИТОГО ДОХОДОВ</t>
  </si>
  <si>
    <t>Наименование кода классификации доходов</t>
  </si>
  <si>
    <t>Код классификации доходов</t>
  </si>
  <si>
    <t>0 0 1</t>
  </si>
  <si>
    <t>001 108 07150 01 0000 110</t>
  </si>
  <si>
    <t>001 113 02994 04 0000 130</t>
  </si>
  <si>
    <t>001 116 23041 04 0000 140</t>
  </si>
  <si>
    <t>001 116 37030 04 0000 140</t>
  </si>
  <si>
    <t>001 116 51020 02 0000 140</t>
  </si>
  <si>
    <t>001 116 90040 04 0000 140</t>
  </si>
  <si>
    <t>001 202 02999 04 0000 151</t>
  </si>
  <si>
    <t>001 202 03003 04 0000 151</t>
  </si>
  <si>
    <t>001 202 03007 04 0000 151</t>
  </si>
  <si>
    <t>001 202 03021 04 0000 151</t>
  </si>
  <si>
    <t>001 202 03999 04 0000 151</t>
  </si>
  <si>
    <t>001 202 04025 04 0000 151</t>
  </si>
  <si>
    <t>001 204 04010 04 0000 180</t>
  </si>
  <si>
    <t>001 207 04010 04 0000 180</t>
  </si>
  <si>
    <t>001 207 04050 04 0000 180</t>
  </si>
  <si>
    <t>001 219 04000 04 0000 151</t>
  </si>
  <si>
    <t>0 0 2</t>
  </si>
  <si>
    <t>002 113 02994 04 0000 130</t>
  </si>
  <si>
    <t>002 202 01003 04 0000 151</t>
  </si>
  <si>
    <t>0 0 5</t>
  </si>
  <si>
    <t>005 111 05012 04 0000 120</t>
  </si>
  <si>
    <t>005 111 05024 04 0000 120</t>
  </si>
  <si>
    <t>005 111 05074 04 0000 120</t>
  </si>
  <si>
    <t>005 111 07014 04 0000 120</t>
  </si>
  <si>
    <t>005 111 09044 04 0000 120</t>
  </si>
  <si>
    <t>005 113 01994 04 0000 130</t>
  </si>
  <si>
    <t>005 114 02043 04 0000 410</t>
  </si>
  <si>
    <t>005 114 02042 04 0000 440</t>
  </si>
  <si>
    <t>005 114 06012 04 0000 430</t>
  </si>
  <si>
    <t>005 116 33040 04 0000 140</t>
  </si>
  <si>
    <t>005 116 90040 04 0000 140</t>
  </si>
  <si>
    <t>005 202 03119 04 0000 151</t>
  </si>
  <si>
    <t>0 0 8</t>
  </si>
  <si>
    <t>008 113 02994 04 0000 151</t>
  </si>
  <si>
    <t>008 202 02008 04 0000 151</t>
  </si>
  <si>
    <t>008 202 02051 04 0000 151</t>
  </si>
  <si>
    <t>008 202 02999 04 0000 151</t>
  </si>
  <si>
    <t xml:space="preserve">0 1 1 </t>
  </si>
  <si>
    <t>011 113 02994 04 0000 130</t>
  </si>
  <si>
    <t>011 116 23041 04 0000 140</t>
  </si>
  <si>
    <t>011 202 02999 04 0000 151</t>
  </si>
  <si>
    <t>011 202 03029 04 0000 151</t>
  </si>
  <si>
    <t>011 202 03999 04 0000 151</t>
  </si>
  <si>
    <t>011 202 04999 04 0000 151</t>
  </si>
  <si>
    <t>011 218 04010 04 0000 180</t>
  </si>
  <si>
    <t>011 219 04000 04 0000 151</t>
  </si>
  <si>
    <t>0 2 4</t>
  </si>
  <si>
    <t>Главное управление по государственной охране объектов культурного наследия Тверской области</t>
  </si>
  <si>
    <t>024 116 90040 04 0000 140</t>
  </si>
  <si>
    <t xml:space="preserve">0 4 8 </t>
  </si>
  <si>
    <t>Федеральная служба по надзору в сфере природопользования</t>
  </si>
  <si>
    <t>048 112 01010 01 0000 120</t>
  </si>
  <si>
    <t>048 112 01020 01 0000 120</t>
  </si>
  <si>
    <t>048 112 01030 01 0000 120</t>
  </si>
  <si>
    <t>048 112 01040 01 0000 120</t>
  </si>
  <si>
    <t>0 8 6</t>
  </si>
  <si>
    <t>Главное управление "Государственная инспекция по ветеринарии" Тверской области</t>
  </si>
  <si>
    <t>086 116 90040 04 0000 140</t>
  </si>
  <si>
    <t>1 0 0</t>
  </si>
  <si>
    <t>Федеральное казначейство</t>
  </si>
  <si>
    <t>100 103 02230 01 0000 110</t>
  </si>
  <si>
    <t>100 103 02240 01 0000 110</t>
  </si>
  <si>
    <t>100 103 02250 01 0000 110</t>
  </si>
  <si>
    <t>100 103 02260 01 0000 110</t>
  </si>
  <si>
    <t>1 4 1</t>
  </si>
  <si>
    <t>Федеральная служба по надзору в сфере защиты прав потребителей и благополучия человека</t>
  </si>
  <si>
    <t>141 116 28000 01 0000 140</t>
  </si>
  <si>
    <t>1 6 1</t>
  </si>
  <si>
    <t>Федеральная антимонопольная служба</t>
  </si>
  <si>
    <t>161 116 33040 04 0000 140</t>
  </si>
  <si>
    <t>1 8 2</t>
  </si>
  <si>
    <t>Федеральная налоговая служба</t>
  </si>
  <si>
    <t>182 101 02010 01 0000 110</t>
  </si>
  <si>
    <t>182 101 02020 01 0000 110</t>
  </si>
  <si>
    <t>182 101 02030 01 0000 110</t>
  </si>
  <si>
    <t>182 105 02010 02 0000 110</t>
  </si>
  <si>
    <t>182 105 02020 02 0000 110</t>
  </si>
  <si>
    <t>182 105 03010 01 0000 110</t>
  </si>
  <si>
    <t>182 105 04010 02 0000 110</t>
  </si>
  <si>
    <t>182 106 01020 04 0000 110</t>
  </si>
  <si>
    <t>182 106 06032 04 0000 110</t>
  </si>
  <si>
    <t>182 106 06042 04 0000 110</t>
  </si>
  <si>
    <t>182 108 03010 01 0000 110</t>
  </si>
  <si>
    <t>182 116 03010 01 0000 140</t>
  </si>
  <si>
    <t>182 116 03030 01 0000 140</t>
  </si>
  <si>
    <t>182 116 06000 01 0000 140</t>
  </si>
  <si>
    <t>1 7 7</t>
  </si>
  <si>
    <t>Министерство Российской Федерации по делам гражданской обороны, чрезвычайным ситуациям и ликвидации последствий стихийных бедствий</t>
  </si>
  <si>
    <t>188 116 43000 01 0000 140</t>
  </si>
  <si>
    <t xml:space="preserve">1 8 8 </t>
  </si>
  <si>
    <t>Министерство внутренних дел Российской Федерации</t>
  </si>
  <si>
    <t>188 116 08010 01 6000 140</t>
  </si>
  <si>
    <t>188 116 30030 01 6000 140</t>
  </si>
  <si>
    <t>188 116 90040 04 6000 140</t>
  </si>
  <si>
    <t xml:space="preserve">2 4 5 </t>
  </si>
  <si>
    <t>Главное управление "Государственная инспекция по надзору за техническим состоянием самоходных машин и других видов техники" Тверской области</t>
  </si>
  <si>
    <t>245 116 90040 04 0000 140</t>
  </si>
  <si>
    <t xml:space="preserve">3 2 1 </t>
  </si>
  <si>
    <t>Федеральная служба государственной регистрации, кадастра и картографии</t>
  </si>
  <si>
    <t>321 116 25060 01 0000 140</t>
  </si>
  <si>
    <t>Приложение  2</t>
  </si>
  <si>
    <t>Код бюджетной классификации</t>
  </si>
  <si>
    <t>администратора источника финансирования</t>
  </si>
  <si>
    <t>источника финансирования</t>
  </si>
  <si>
    <t>Управление финансов администрации города Торжка</t>
  </si>
  <si>
    <t xml:space="preserve"> 01 05 02 01 04 0000 510</t>
  </si>
  <si>
    <t xml:space="preserve"> 01 05 02 01 04 0000 610</t>
  </si>
  <si>
    <t>Приложение  3</t>
  </si>
  <si>
    <t>Изменение остатков средств на счетах по учету средств бюджета</t>
  </si>
  <si>
    <t xml:space="preserve">Источники   финансирования дефицита бюджета муниципального образования город Торжок по кодам классификации источников финансирования дефицитов бюджетов за 2016 год </t>
  </si>
  <si>
    <t xml:space="preserve">Источники  финансирования дефицита бюджета муниципального образования город Торжок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дефицита бюджета за 2016 год </t>
  </si>
  <si>
    <t>Приложение 4</t>
  </si>
  <si>
    <t>Приложение 5</t>
  </si>
  <si>
    <t xml:space="preserve">Приложение 6 </t>
  </si>
  <si>
    <t xml:space="preserve">Доходы бюджета муниципального образования город Торжок за 2016 год по кодам классификации доходов </t>
  </si>
  <si>
    <t>Внутренние заимствования муниципального образования город Торжок осуществлялись в целях финансирования дефицита бюджета.</t>
  </si>
  <si>
    <t xml:space="preserve"> 01 03 01 00 04 0000 710</t>
  </si>
  <si>
    <t xml:space="preserve">Лимит местного бюджета </t>
  </si>
  <si>
    <t>к решению Торжокской городской Думы</t>
  </si>
  <si>
    <t>от 15.06.2017  № 97</t>
  </si>
  <si>
    <t>от 15.06.2017 № 97</t>
  </si>
  <si>
    <t>к   решению Торжокской городской Думы</t>
  </si>
  <si>
    <t>Код адми-нистрато-ра доходов</t>
  </si>
  <si>
    <t>от  15.06.2017  № 97</t>
  </si>
  <si>
    <t>к решению Торжокской городской  Думы</t>
  </si>
  <si>
    <t xml:space="preserve">к решению Торжокской городской Думы          </t>
  </si>
</sst>
</file>

<file path=xl/styles.xml><?xml version="1.0" encoding="utf-8"?>
<styleSheet xmlns="http://schemas.openxmlformats.org/spreadsheetml/2006/main">
  <numFmts count="7">
    <numFmt numFmtId="41" formatCode="_-* #,##0_р_._-;\-* #,##0_р_._-;_-* &quot;-&quot;_р_._-;_-@_-"/>
    <numFmt numFmtId="43" formatCode="_-* #,##0.00_р_._-;\-* #,##0.00_р_._-;_-* &quot;-&quot;??_р_._-;_-@_-"/>
    <numFmt numFmtId="164" formatCode="0.0"/>
    <numFmt numFmtId="165" formatCode="0000"/>
    <numFmt numFmtId="166" formatCode="000"/>
    <numFmt numFmtId="167" formatCode="#,##0.0_ ;\-#,##0.0\ "/>
    <numFmt numFmtId="168" formatCode="#,##0.0"/>
  </numFmts>
  <fonts count="24">
    <font>
      <sz val="10"/>
      <name val="Arial Cyr"/>
      <family val="2"/>
    </font>
    <font>
      <sz val="10"/>
      <name val="Arial"/>
      <family val="2"/>
    </font>
    <font>
      <sz val="11"/>
      <color theme="1"/>
      <name val="Calibri"/>
      <family val="2"/>
      <scheme val="minor"/>
    </font>
    <font>
      <sz val="8"/>
      <name val="Arial Cyr"/>
      <family val="2"/>
    </font>
    <font>
      <sz val="13"/>
      <name val="Times New Roman"/>
      <family val="1"/>
    </font>
    <font>
      <b/>
      <sz val="13"/>
      <name val="Times New Roman"/>
      <family val="1"/>
    </font>
    <font>
      <sz val="12"/>
      <color indexed="8"/>
      <name val="Times New Roman"/>
      <family val="1"/>
    </font>
    <font>
      <sz val="11"/>
      <color indexed="8"/>
      <name val="Times New Roman"/>
      <family val="1"/>
    </font>
    <font>
      <sz val="12"/>
      <name val="Times New Roman"/>
      <family val="1"/>
    </font>
    <font>
      <sz val="13"/>
      <color indexed="8"/>
      <name val="Times New Roman"/>
      <family val="1"/>
    </font>
    <font>
      <b/>
      <sz val="13"/>
      <color indexed="8"/>
      <name val="Times New Roman"/>
      <family val="1"/>
    </font>
    <font>
      <sz val="14"/>
      <name val="Times New Roman"/>
      <family val="1"/>
    </font>
    <font>
      <b/>
      <sz val="13"/>
      <name val="Times New Roman Cyr"/>
      <family val="2"/>
    </font>
    <font>
      <sz val="13"/>
      <name val="Times New Roman Cyr"/>
      <family val="1"/>
    </font>
    <font>
      <sz val="11"/>
      <name val="Times New Roman"/>
      <family val="1"/>
    </font>
    <font>
      <b/>
      <sz val="11"/>
      <name val="Times New Roman"/>
      <family val="1"/>
    </font>
    <font>
      <b/>
      <sz val="12"/>
      <name val="Times New Roman"/>
      <family val="1"/>
    </font>
    <font>
      <b/>
      <sz val="14"/>
      <name val="Times New Roman"/>
      <family val="1"/>
    </font>
    <font>
      <i/>
      <sz val="13"/>
      <name val="Times New Roman"/>
      <family val="1"/>
    </font>
    <font>
      <b/>
      <sz val="13"/>
      <color rgb="FFFF0000"/>
      <name val="Times New Roman"/>
      <family val="1"/>
    </font>
    <font>
      <sz val="13"/>
      <color rgb="FFFF0000"/>
      <name val="Times New Roman"/>
      <family val="1"/>
    </font>
    <font>
      <sz val="10"/>
      <color indexed="63"/>
      <name val="Arial"/>
      <family val="2"/>
    </font>
    <font>
      <b/>
      <sz val="13"/>
      <color indexed="8"/>
      <name val="ARIAL"/>
      <family val="2"/>
    </font>
    <font>
      <sz val="10"/>
      <name val="Times New Roman"/>
      <family val="1"/>
    </font>
  </fonts>
  <fills count="3">
    <fill>
      <patternFill/>
    </fill>
    <fill>
      <patternFill patternType="gray125"/>
    </fill>
    <fill>
      <patternFill patternType="solid">
        <fgColor indexed="65"/>
        <bgColor indexed="64"/>
      </patternFill>
    </fill>
  </fills>
  <borders count="5">
    <border>
      <left/>
      <right/>
      <top/>
      <bottom/>
      <diagonal/>
    </border>
    <border>
      <left style="thin"/>
      <right style="thin"/>
      <top style="thin"/>
      <bottom style="thin"/>
    </border>
    <border>
      <left style="thin"/>
      <right style="thin"/>
      <top/>
      <bottom style="thin"/>
    </border>
    <border>
      <left/>
      <right/>
      <top/>
      <bottom style="thin"/>
    </border>
    <border>
      <left style="thin"/>
      <right style="thin"/>
      <top style="thin"/>
      <bottom/>
    </border>
  </borders>
  <cellStyleXfs count="51">
    <xf numFmtId="0"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43" fontId="0" fillId="0" borderId="0" applyFont="0" applyFill="0" applyBorder="0" applyAlignment="0" applyProtection="0"/>
    <xf numFmtId="0" fontId="2" fillId="0" borderId="0">
      <alignment/>
      <protection/>
    </xf>
    <xf numFmtId="41" fontId="0" fillId="0" borderId="0" applyFont="0" applyFill="0" applyBorder="0" applyAlignment="0" applyProtection="0"/>
    <xf numFmtId="0" fontId="11" fillId="0" borderId="0">
      <alignment horizontal="justify" vertical="top" wrapText="1"/>
      <protection/>
    </xf>
    <xf numFmtId="0" fontId="0" fillId="0" borderId="0">
      <alignment/>
      <protection/>
    </xf>
    <xf numFmtId="0" fontId="2" fillId="0" borderId="0">
      <alignment/>
      <protection/>
    </xf>
    <xf numFmtId="0" fontId="2" fillId="0" borderId="0">
      <alignment/>
      <protection/>
    </xf>
    <xf numFmtId="0" fontId="21" fillId="0" borderId="0" applyNumberFormat="0" applyFill="0" applyBorder="0" applyAlignment="0" applyProtection="0"/>
  </cellStyleXfs>
  <cellXfs count="304">
    <xf numFmtId="0" fontId="0" fillId="0" borderId="0" xfId="0" applyAlignment="1">
      <alignment wrapText="1"/>
    </xf>
    <xf numFmtId="0" fontId="4" fillId="0" borderId="0" xfId="0" applyFont="1" applyAlignment="1">
      <alignment horizontal="right"/>
    </xf>
    <xf numFmtId="0" fontId="4" fillId="0" borderId="0" xfId="0" applyFont="1" applyAlignment="1">
      <alignment wrapText="1"/>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1" fontId="4" fillId="0" borderId="1" xfId="0" applyNumberFormat="1" applyFont="1" applyFill="1" applyBorder="1" applyAlignment="1">
      <alignment horizontal="center" vertical="center"/>
    </xf>
    <xf numFmtId="0" fontId="4" fillId="0" borderId="1" xfId="0" applyFont="1" applyFill="1" applyBorder="1" applyAlignment="1">
      <alignment horizont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left"/>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 fontId="4" fillId="0" borderId="0" xfId="0" applyNumberFormat="1" applyFont="1" applyAlignment="1">
      <alignment wrapText="1"/>
    </xf>
    <xf numFmtId="0" fontId="4" fillId="0" borderId="0" xfId="0" applyFont="1" applyAlignment="1">
      <alignment horizontal="center" vertical="center"/>
    </xf>
    <xf numFmtId="0" fontId="4" fillId="0" borderId="1" xfId="0" applyFont="1" applyFill="1" applyBorder="1" applyAlignment="1">
      <alignment horizontal="center" vertical="center" wrapText="1"/>
    </xf>
    <xf numFmtId="49" fontId="5" fillId="0" borderId="1" xfId="0" applyNumberFormat="1" applyFont="1" applyBorder="1" applyAlignment="1">
      <alignment horizontal="center" vertical="center"/>
    </xf>
    <xf numFmtId="0" fontId="5" fillId="0" borderId="1" xfId="0" applyFont="1" applyBorder="1" applyAlignment="1">
      <alignment horizontal="left" vertical="center" wrapText="1"/>
    </xf>
    <xf numFmtId="49"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49" fontId="4" fillId="0" borderId="0" xfId="0" applyNumberFormat="1" applyFont="1" applyFill="1" applyBorder="1" applyAlignment="1">
      <alignment horizontal="center"/>
    </xf>
    <xf numFmtId="49" fontId="4" fillId="0" borderId="0" xfId="0" applyNumberFormat="1" applyFont="1" applyFill="1" applyBorder="1" applyAlignment="1">
      <alignment horizontal="right"/>
    </xf>
    <xf numFmtId="0" fontId="5" fillId="0" borderId="1" xfId="0" applyFont="1" applyFill="1" applyBorder="1" applyAlignment="1">
      <alignment horizontal="left"/>
    </xf>
    <xf numFmtId="0" fontId="4" fillId="0" borderId="0" xfId="0" applyFont="1" applyAlignment="1">
      <alignment horizontal="center"/>
    </xf>
    <xf numFmtId="0" fontId="4" fillId="0" borderId="1" xfId="0" applyFont="1" applyBorder="1" applyAlignment="1">
      <alignment horizontal="center" vertical="center"/>
    </xf>
    <xf numFmtId="0" fontId="4" fillId="0" borderId="1" xfId="0" applyFont="1" applyBorder="1" applyAlignment="1">
      <alignment wrapText="1"/>
    </xf>
    <xf numFmtId="164" fontId="4" fillId="0" borderId="0" xfId="0" applyNumberFormat="1" applyFont="1" applyFill="1" applyAlignment="1">
      <alignment horizontal="center" vertical="center"/>
    </xf>
    <xf numFmtId="164" fontId="4"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4" fillId="0" borderId="1" xfId="0" applyFont="1" applyFill="1" applyBorder="1" applyAlignment="1" applyProtection="1">
      <alignment horizontal="left" vertical="center" wrapText="1"/>
      <protection locked="0"/>
    </xf>
    <xf numFmtId="49" fontId="4" fillId="0" borderId="1" xfId="0" applyNumberFormat="1" applyFont="1" applyFill="1" applyBorder="1" applyAlignment="1" applyProtection="1">
      <alignment horizontal="left" vertical="center" wrapText="1"/>
      <protection locked="0"/>
    </xf>
    <xf numFmtId="49" fontId="4" fillId="0" borderId="1"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wrapText="1"/>
      <protection locked="0"/>
    </xf>
    <xf numFmtId="0" fontId="4" fillId="0" borderId="1" xfId="0" applyFont="1" applyBorder="1" applyAlignment="1">
      <alignment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164" fontId="5"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4" fillId="0" borderId="1" xfId="0" applyFont="1" applyFill="1" applyBorder="1" applyAlignment="1">
      <alignment vertical="center" wrapText="1"/>
    </xf>
    <xf numFmtId="164" fontId="4" fillId="0" borderId="1" xfId="0" applyNumberFormat="1" applyFont="1" applyFill="1" applyBorder="1" applyAlignment="1">
      <alignment horizontal="center" vertical="center" wrapText="1"/>
    </xf>
    <xf numFmtId="0" fontId="4" fillId="0" borderId="0" xfId="0" applyFont="1" applyFill="1" applyAlignment="1">
      <alignment wrapText="1"/>
    </xf>
    <xf numFmtId="0" fontId="9" fillId="0" borderId="1" xfId="0" applyFont="1" applyFill="1" applyBorder="1" applyAlignment="1">
      <alignment horizontal="center" vertical="center" wrapText="1"/>
    </xf>
    <xf numFmtId="0" fontId="10" fillId="0" borderId="1" xfId="0" applyFont="1" applyFill="1" applyBorder="1" applyAlignment="1">
      <alignment vertical="top" wrapText="1"/>
    </xf>
    <xf numFmtId="0" fontId="9" fillId="0" borderId="1" xfId="0" applyFont="1" applyFill="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0" xfId="0" applyFont="1" applyFill="1" applyAlignment="1">
      <alignment wrapText="1"/>
    </xf>
    <xf numFmtId="0" fontId="4" fillId="0" borderId="0" xfId="0" applyFont="1" applyFill="1" applyAlignment="1">
      <alignment vertical="center" wrapText="1"/>
    </xf>
    <xf numFmtId="0" fontId="4" fillId="0" borderId="0" xfId="0" applyFont="1" applyFill="1" applyBorder="1" applyAlignment="1">
      <alignment horizontal="center" vertical="center" wrapText="1"/>
    </xf>
    <xf numFmtId="164" fontId="4" fillId="0" borderId="0" xfId="0" applyNumberFormat="1" applyFont="1" applyFill="1" applyAlignment="1">
      <alignment horizontal="center" vertical="center" wrapText="1"/>
    </xf>
    <xf numFmtId="49" fontId="8" fillId="0" borderId="0" xfId="0" applyNumberFormat="1" applyFont="1" applyFill="1" applyAlignment="1">
      <alignment horizontal="right" wrapText="1"/>
    </xf>
    <xf numFmtId="0" fontId="4" fillId="0" borderId="1" xfId="0" applyFont="1" applyFill="1" applyBorder="1" applyAlignment="1">
      <alignment horizontal="center" wrapText="1"/>
    </xf>
    <xf numFmtId="49" fontId="4" fillId="0" borderId="1" xfId="0" applyNumberFormat="1" applyFont="1" applyFill="1" applyBorder="1" applyAlignment="1">
      <alignment horizontal="center" wrapText="1"/>
    </xf>
    <xf numFmtId="0" fontId="5" fillId="0" borderId="1" xfId="0" applyFont="1" applyFill="1" applyBorder="1" applyAlignment="1">
      <alignment wrapText="1"/>
    </xf>
    <xf numFmtId="49" fontId="5" fillId="0" borderId="1" xfId="0" applyNumberFormat="1" applyFont="1" applyFill="1" applyBorder="1" applyAlignment="1">
      <alignment wrapText="1"/>
    </xf>
    <xf numFmtId="0" fontId="5" fillId="0" borderId="1" xfId="0" applyFont="1" applyFill="1" applyBorder="1" applyAlignment="1">
      <alignment horizontal="center" vertical="center" wrapText="1"/>
    </xf>
    <xf numFmtId="0" fontId="4" fillId="0" borderId="1" xfId="0" applyFont="1" applyFill="1" applyBorder="1" applyAlignment="1">
      <alignment wrapText="1"/>
    </xf>
    <xf numFmtId="49" fontId="4" fillId="0" borderId="1" xfId="0" applyNumberFormat="1" applyFont="1" applyFill="1" applyBorder="1" applyAlignment="1">
      <alignment vertical="center" wrapText="1"/>
    </xf>
    <xf numFmtId="49" fontId="4" fillId="0" borderId="0" xfId="0" applyNumberFormat="1" applyFont="1" applyFill="1" applyAlignment="1">
      <alignment wrapText="1"/>
    </xf>
    <xf numFmtId="49" fontId="4" fillId="0" borderId="0" xfId="0" applyNumberFormat="1" applyFont="1" applyFill="1" applyAlignment="1">
      <alignment horizontal="center" vertical="center" wrapText="1"/>
    </xf>
    <xf numFmtId="49" fontId="8" fillId="0" borderId="0" xfId="0" applyNumberFormat="1" applyFont="1" applyFill="1" applyAlignment="1">
      <alignment horizontal="right" vertical="center" wrapText="1"/>
    </xf>
    <xf numFmtId="49" fontId="4" fillId="0" borderId="0" xfId="0" applyNumberFormat="1" applyFont="1" applyFill="1" applyBorder="1" applyAlignment="1">
      <alignment vertical="center" wrapText="1"/>
    </xf>
    <xf numFmtId="0" fontId="4" fillId="0" borderId="0" xfId="0" applyFont="1" applyFill="1" applyBorder="1" applyAlignment="1">
      <alignment vertical="center" wrapText="1"/>
    </xf>
    <xf numFmtId="0" fontId="8" fillId="0" borderId="0" xfId="0" applyFont="1" applyFill="1" applyAlignment="1">
      <alignment horizontal="center" wrapText="1"/>
    </xf>
    <xf numFmtId="0" fontId="8" fillId="0" borderId="0" xfId="0" applyFont="1" applyFill="1" applyBorder="1" applyAlignment="1">
      <alignment wrapText="1"/>
    </xf>
    <xf numFmtId="0" fontId="4" fillId="0" borderId="0" xfId="0" applyFont="1" applyFill="1" applyBorder="1" applyAlignment="1">
      <alignment horizontal="center" wrapText="1"/>
    </xf>
    <xf numFmtId="0" fontId="4" fillId="0" borderId="0" xfId="0" applyFont="1" applyFill="1" applyBorder="1" applyAlignment="1">
      <alignment horizontal="right" wrapText="1"/>
    </xf>
    <xf numFmtId="164" fontId="4" fillId="0" borderId="0" xfId="0" applyNumberFormat="1" applyFont="1" applyFill="1" applyBorder="1" applyAlignment="1">
      <alignment horizontal="center" vertical="center" wrapText="1"/>
    </xf>
    <xf numFmtId="0" fontId="4" fillId="0" borderId="3" xfId="0" applyFont="1" applyFill="1" applyBorder="1" applyAlignment="1">
      <alignment horizont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right" wrapText="1"/>
    </xf>
    <xf numFmtId="164" fontId="4" fillId="0" borderId="3" xfId="0" applyNumberFormat="1" applyFont="1" applyFill="1" applyBorder="1" applyAlignment="1">
      <alignment horizontal="center" vertical="center" wrapText="1"/>
    </xf>
    <xf numFmtId="0" fontId="5" fillId="0" borderId="1" xfId="0" applyFont="1" applyFill="1" applyBorder="1" applyAlignment="1">
      <alignment horizontal="center" wrapText="1"/>
    </xf>
    <xf numFmtId="0" fontId="4" fillId="0" borderId="0" xfId="0" applyFont="1" applyFill="1" applyAlignment="1">
      <alignment horizontal="center" wrapText="1"/>
    </xf>
    <xf numFmtId="49" fontId="4" fillId="0" borderId="0" xfId="0" applyNumberFormat="1" applyFont="1" applyFill="1" applyBorder="1" applyAlignment="1">
      <alignment horizontal="right" wrapText="1"/>
    </xf>
    <xf numFmtId="49" fontId="4" fillId="0" borderId="3" xfId="0" applyNumberFormat="1" applyFont="1" applyFill="1" applyBorder="1" applyAlignment="1">
      <alignment horizontal="right" wrapText="1"/>
    </xf>
    <xf numFmtId="0" fontId="4" fillId="0" borderId="0" xfId="0" applyFont="1" applyFill="1" applyAlignment="1">
      <alignment wrapText="1"/>
    </xf>
    <xf numFmtId="0" fontId="4" fillId="0" borderId="0" xfId="0" applyFont="1" applyFill="1" applyBorder="1" applyAlignment="1">
      <alignment wrapText="1"/>
    </xf>
    <xf numFmtId="0" fontId="10"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Fill="1" applyBorder="1" applyAlignment="1">
      <alignment horizontal="right" wrapText="1"/>
    </xf>
    <xf numFmtId="0" fontId="4" fillId="0" borderId="0" xfId="0" applyFont="1" applyFill="1" applyAlignment="1">
      <alignment horizontal="center" vertical="center" wrapText="1"/>
    </xf>
    <xf numFmtId="164" fontId="4" fillId="0" borderId="2"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4" fillId="0" borderId="1" xfId="0" applyNumberFormat="1" applyFont="1" applyBorder="1" applyAlignment="1">
      <alignment horizontal="center"/>
    </xf>
    <xf numFmtId="0" fontId="5" fillId="0" borderId="0" xfId="0" applyFont="1" applyAlignment="1">
      <alignment horizontal="right" vertical="top" wrapText="1"/>
    </xf>
    <xf numFmtId="0" fontId="4" fillId="0" borderId="0" xfId="0" applyFont="1" applyAlignment="1">
      <alignment horizontal="right" vertical="top" wrapText="1"/>
    </xf>
    <xf numFmtId="0" fontId="4" fillId="0" borderId="1" xfId="0" applyFont="1" applyBorder="1" applyAlignment="1">
      <alignment horizontal="center" vertical="top" wrapText="1"/>
    </xf>
    <xf numFmtId="14"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indent="1"/>
    </xf>
    <xf numFmtId="165"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167" fontId="4" fillId="0" borderId="1" xfId="43" applyNumberFormat="1" applyFont="1" applyBorder="1" applyAlignment="1">
      <alignment horizontal="center" vertical="center" wrapText="1"/>
    </xf>
    <xf numFmtId="0" fontId="5" fillId="0" borderId="1" xfId="0" applyFont="1" applyBorder="1" applyAlignment="1">
      <alignment wrapText="1"/>
    </xf>
    <xf numFmtId="0" fontId="5" fillId="0" borderId="1" xfId="0" applyFont="1" applyBorder="1" applyAlignment="1">
      <alignment horizontal="center"/>
    </xf>
    <xf numFmtId="167" fontId="5" fillId="0" borderId="1" xfId="43"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Fill="1" applyAlignment="1">
      <alignment horizontal="right" vertical="center" wrapText="1"/>
    </xf>
    <xf numFmtId="0" fontId="8" fillId="0" borderId="0" xfId="0" applyFont="1" applyFill="1" applyAlignment="1">
      <alignment horizontal="right" wrapText="1"/>
    </xf>
    <xf numFmtId="0" fontId="4" fillId="0" borderId="1" xfId="46" applyFont="1" applyBorder="1" applyAlignment="1">
      <alignment horizontal="center" vertical="center" wrapText="1"/>
      <protection/>
    </xf>
    <xf numFmtId="0" fontId="4" fillId="0" borderId="0" xfId="0" applyFont="1" applyAlignment="1">
      <alignment horizontal="center" wrapText="1"/>
    </xf>
    <xf numFmtId="0" fontId="4" fillId="0" borderId="1" xfId="0" applyFont="1" applyBorder="1" applyAlignment="1">
      <alignment horizontal="center" wrapText="1"/>
    </xf>
    <xf numFmtId="0" fontId="8" fillId="0" borderId="1" xfId="0" applyFont="1" applyFill="1" applyBorder="1" applyAlignment="1">
      <alignment horizontal="center" vertical="center" wrapText="1"/>
    </xf>
    <xf numFmtId="0" fontId="5" fillId="0" borderId="1" xfId="0" applyFont="1" applyFill="1" applyBorder="1" applyAlignment="1" applyProtection="1">
      <alignment horizontal="left"/>
      <protection locked="0"/>
    </xf>
    <xf numFmtId="164" fontId="12" fillId="0" borderId="1" xfId="47" applyNumberFormat="1" applyFont="1" applyFill="1" applyBorder="1" applyAlignment="1">
      <alignment horizontal="center" vertical="center" wrapText="1"/>
      <protection/>
    </xf>
    <xf numFmtId="164" fontId="13" fillId="0" borderId="1" xfId="47" applyNumberFormat="1" applyFont="1" applyFill="1" applyBorder="1" applyAlignment="1">
      <alignment horizontal="center" vertical="center" wrapText="1"/>
      <protection/>
    </xf>
    <xf numFmtId="164" fontId="5" fillId="0" borderId="0" xfId="0" applyNumberFormat="1" applyFont="1" applyFill="1" applyAlignment="1">
      <alignment wrapText="1"/>
    </xf>
    <xf numFmtId="0" fontId="8" fillId="0" borderId="0" xfId="48" applyFont="1">
      <alignment/>
      <protection/>
    </xf>
    <xf numFmtId="0" fontId="5" fillId="0" borderId="3" xfId="48" applyFont="1" applyBorder="1" applyAlignment="1">
      <alignment horizontal="center"/>
      <protection/>
    </xf>
    <xf numFmtId="0" fontId="15" fillId="0" borderId="1" xfId="48" applyFont="1" applyBorder="1" applyAlignment="1">
      <alignment horizontal="left" vertical="center" wrapText="1"/>
      <protection/>
    </xf>
    <xf numFmtId="164" fontId="15" fillId="0" borderId="1" xfId="48" applyNumberFormat="1" applyFont="1" applyBorder="1" applyAlignment="1">
      <alignment horizontal="center" vertical="center" wrapText="1"/>
      <protection/>
    </xf>
    <xf numFmtId="49" fontId="15" fillId="0" borderId="1" xfId="48" applyNumberFormat="1" applyFont="1" applyBorder="1" applyAlignment="1">
      <alignment horizontal="center" vertical="center" wrapText="1"/>
      <protection/>
    </xf>
    <xf numFmtId="0" fontId="16" fillId="0" borderId="0" xfId="48" applyFont="1">
      <alignment/>
      <protection/>
    </xf>
    <xf numFmtId="164" fontId="14" fillId="0" borderId="1" xfId="48" applyNumberFormat="1" applyFont="1" applyBorder="1" applyAlignment="1">
      <alignment horizontal="center" vertical="center" wrapText="1"/>
      <protection/>
    </xf>
    <xf numFmtId="49" fontId="14" fillId="0" borderId="1" xfId="48" applyNumberFormat="1" applyFont="1" applyBorder="1" applyAlignment="1">
      <alignment horizontal="center" vertical="center" wrapText="1"/>
      <protection/>
    </xf>
    <xf numFmtId="164" fontId="14" fillId="0" borderId="1" xfId="48" applyNumberFormat="1" applyFont="1" applyFill="1" applyBorder="1" applyAlignment="1">
      <alignment horizontal="center" vertical="center" wrapText="1"/>
      <protection/>
    </xf>
    <xf numFmtId="164" fontId="15" fillId="0" borderId="1" xfId="48" applyNumberFormat="1" applyFont="1" applyFill="1" applyBorder="1" applyAlignment="1">
      <alignment horizontal="center" vertical="center" wrapText="1"/>
      <protection/>
    </xf>
    <xf numFmtId="0" fontId="8" fillId="0" borderId="0" xfId="48" applyFont="1" applyAlignment="1">
      <alignment horizontal="left"/>
      <protection/>
    </xf>
    <xf numFmtId="0" fontId="8" fillId="0" borderId="0" xfId="48" applyFont="1" applyAlignment="1">
      <alignment horizontal="center"/>
      <protection/>
    </xf>
    <xf numFmtId="0" fontId="16" fillId="0" borderId="0" xfId="48" applyFont="1" applyAlignment="1">
      <alignment horizontal="center"/>
      <protection/>
    </xf>
    <xf numFmtId="0" fontId="8" fillId="0" borderId="0" xfId="48" applyFont="1" applyAlignment="1">
      <alignment/>
      <protection/>
    </xf>
    <xf numFmtId="0" fontId="5" fillId="0" borderId="0" xfId="48" applyFont="1" applyAlignment="1">
      <alignment/>
      <protection/>
    </xf>
    <xf numFmtId="0" fontId="5" fillId="0" borderId="0" xfId="48" applyFont="1" applyBorder="1" applyAlignment="1">
      <alignment/>
      <protection/>
    </xf>
    <xf numFmtId="0" fontId="4" fillId="0" borderId="0" xfId="46" applyFont="1" applyAlignment="1">
      <alignment horizontal="justify" vertical="top" wrapText="1"/>
      <protection/>
    </xf>
    <xf numFmtId="0" fontId="4" fillId="0" borderId="0" xfId="46" applyFont="1" applyAlignment="1">
      <alignment horizontal="right" vertical="top" wrapText="1"/>
      <protection/>
    </xf>
    <xf numFmtId="0" fontId="4" fillId="0" borderId="0" xfId="46" applyFont="1" applyAlignment="1">
      <alignment vertical="top" wrapText="1"/>
      <protection/>
    </xf>
    <xf numFmtId="0" fontId="4" fillId="0" borderId="0" xfId="46" applyFont="1" applyAlignment="1">
      <alignment vertical="top"/>
      <protection/>
    </xf>
    <xf numFmtId="0" fontId="4" fillId="0" borderId="0" xfId="46" applyFont="1" applyAlignment="1">
      <alignment horizontal="center" vertical="center" wrapText="1"/>
      <protection/>
    </xf>
    <xf numFmtId="0" fontId="4" fillId="0" borderId="1" xfId="46" applyFont="1" applyBorder="1" applyAlignment="1">
      <alignment horizontal="left" vertical="center" wrapText="1" indent="1"/>
      <protection/>
    </xf>
    <xf numFmtId="164" fontId="4" fillId="0" borderId="1" xfId="46" applyNumberFormat="1" applyFont="1" applyBorder="1" applyAlignment="1">
      <alignment horizontal="center" vertical="center" wrapText="1"/>
      <protection/>
    </xf>
    <xf numFmtId="0" fontId="4" fillId="0" borderId="1" xfId="46" applyFont="1" applyBorder="1" applyAlignment="1">
      <alignment horizontal="left" vertical="top" wrapText="1"/>
      <protection/>
    </xf>
    <xf numFmtId="0" fontId="5" fillId="0" borderId="1" xfId="46" applyFont="1" applyBorder="1" applyAlignment="1">
      <alignment horizontal="left" vertical="top" wrapText="1" indent="1"/>
      <protection/>
    </xf>
    <xf numFmtId="164" fontId="5" fillId="0" borderId="1" xfId="46" applyNumberFormat="1" applyFont="1" applyBorder="1" applyAlignment="1">
      <alignment horizontal="center" vertical="top" wrapText="1"/>
      <protection/>
    </xf>
    <xf numFmtId="0" fontId="4" fillId="0" borderId="1" xfId="46" applyFont="1" applyFill="1" applyBorder="1" applyAlignment="1">
      <alignment horizontal="center" vertical="center" wrapText="1"/>
      <protection/>
    </xf>
    <xf numFmtId="0" fontId="8" fillId="0" borderId="0" xfId="0" applyFont="1" applyFill="1" applyBorder="1" applyAlignment="1">
      <alignment horizontal="right" wrapText="1"/>
    </xf>
    <xf numFmtId="0" fontId="4" fillId="0" borderId="2" xfId="0" applyFont="1" applyBorder="1" applyAlignment="1">
      <alignment horizontal="center" vertical="center" wrapText="1"/>
    </xf>
    <xf numFmtId="0" fontId="4" fillId="0" borderId="0" xfId="36" applyFont="1">
      <alignment/>
      <protection/>
    </xf>
    <xf numFmtId="0" fontId="5" fillId="0" borderId="3" xfId="36" applyNumberFormat="1" applyFont="1" applyBorder="1" applyAlignment="1">
      <alignment horizontal="center" vertical="center" wrapText="1"/>
      <protection/>
    </xf>
    <xf numFmtId="49" fontId="4" fillId="2" borderId="1" xfId="36" applyNumberFormat="1" applyFont="1" applyFill="1" applyBorder="1" applyAlignment="1">
      <alignment horizontal="center" vertical="center" shrinkToFit="1"/>
      <protection/>
    </xf>
    <xf numFmtId="168" fontId="4" fillId="0" borderId="1" xfId="36" applyNumberFormat="1" applyFont="1" applyFill="1" applyBorder="1" applyAlignment="1">
      <alignment horizontal="center" vertical="center" shrinkToFit="1"/>
      <protection/>
    </xf>
    <xf numFmtId="0" fontId="4" fillId="0" borderId="1" xfId="36" applyFont="1" applyFill="1" applyBorder="1" applyAlignment="1">
      <alignment horizontal="justify" vertical="center" wrapText="1"/>
      <protection/>
    </xf>
    <xf numFmtId="49" fontId="4" fillId="0" borderId="1" xfId="36" applyNumberFormat="1" applyFont="1" applyBorder="1" applyAlignment="1">
      <alignment horizontal="justify" vertical="center" wrapText="1"/>
      <protection/>
    </xf>
    <xf numFmtId="0" fontId="4" fillId="0" borderId="1" xfId="36" applyNumberFormat="1" applyFont="1" applyFill="1" applyBorder="1" applyAlignment="1" applyProtection="1">
      <alignment horizontal="justify" vertical="top" wrapText="1"/>
      <protection/>
    </xf>
    <xf numFmtId="0" fontId="4" fillId="0" borderId="1" xfId="36" applyNumberFormat="1" applyFont="1" applyFill="1" applyBorder="1" applyAlignment="1" applyProtection="1">
      <alignment horizontal="justify" vertical="center" wrapText="1"/>
      <protection/>
    </xf>
    <xf numFmtId="168" fontId="5" fillId="0" borderId="1" xfId="36" applyNumberFormat="1" applyFont="1" applyFill="1" applyBorder="1" applyAlignment="1">
      <alignment horizontal="center" vertical="center" shrinkToFit="1"/>
      <protection/>
    </xf>
    <xf numFmtId="168" fontId="4" fillId="0" borderId="0" xfId="36" applyNumberFormat="1" applyFont="1" applyFill="1">
      <alignment/>
      <protection/>
    </xf>
    <xf numFmtId="49" fontId="4" fillId="0" borderId="0" xfId="36" applyNumberFormat="1" applyFont="1" applyFill="1" applyBorder="1" applyAlignment="1">
      <alignment horizontal="left" vertical="center"/>
      <protection/>
    </xf>
    <xf numFmtId="0" fontId="4" fillId="0" borderId="0" xfId="36" applyFont="1" applyFill="1" applyBorder="1" applyAlignment="1">
      <alignment horizontal="left" vertical="center"/>
      <protection/>
    </xf>
    <xf numFmtId="0" fontId="18" fillId="0" borderId="0" xfId="36" applyFont="1" applyFill="1" applyBorder="1" applyAlignment="1">
      <alignment horizontal="left" vertical="center" wrapText="1"/>
      <protection/>
    </xf>
    <xf numFmtId="0" fontId="4" fillId="0" borderId="0" xfId="36" applyFont="1" applyFill="1" applyBorder="1" applyAlignment="1">
      <alignment horizontal="right" vertical="center"/>
      <protection/>
    </xf>
    <xf numFmtId="49" fontId="4" fillId="0" borderId="1" xfId="36" applyNumberFormat="1" applyFont="1" applyBorder="1" applyAlignment="1">
      <alignment horizontal="center" vertical="center" wrapText="1"/>
      <protection/>
    </xf>
    <xf numFmtId="0" fontId="4" fillId="0" borderId="1" xfId="36" applyFont="1" applyBorder="1" applyAlignment="1">
      <alignment horizontal="center" vertical="center" wrapText="1"/>
      <protection/>
    </xf>
    <xf numFmtId="1" fontId="4" fillId="0" borderId="1" xfId="36" applyNumberFormat="1" applyFont="1" applyBorder="1" applyAlignment="1">
      <alignment horizontal="center" vertical="center" wrapText="1"/>
      <protection/>
    </xf>
    <xf numFmtId="0" fontId="5" fillId="0" borderId="0" xfId="36" applyFont="1" applyFill="1" applyBorder="1" applyAlignment="1">
      <alignment horizontal="left" vertical="center" wrapText="1"/>
      <protection/>
    </xf>
    <xf numFmtId="49" fontId="5" fillId="0" borderId="1" xfId="49" applyNumberFormat="1" applyFont="1" applyFill="1" applyBorder="1" applyAlignment="1">
      <alignment horizontal="center" vertical="center"/>
      <protection/>
    </xf>
    <xf numFmtId="0" fontId="5" fillId="0" borderId="1" xfId="49" applyFont="1" applyFill="1" applyBorder="1" applyAlignment="1">
      <alignment horizontal="justify" vertical="center" wrapText="1"/>
      <protection/>
    </xf>
    <xf numFmtId="168" fontId="5" fillId="0" borderId="1" xfId="49" applyNumberFormat="1" applyFont="1" applyFill="1" applyBorder="1" applyAlignment="1">
      <alignment horizontal="center" vertical="center"/>
      <protection/>
    </xf>
    <xf numFmtId="49" fontId="4" fillId="0" borderId="1" xfId="49" applyNumberFormat="1" applyFont="1" applyFill="1" applyBorder="1" applyAlignment="1">
      <alignment horizontal="center" vertical="center"/>
      <protection/>
    </xf>
    <xf numFmtId="0" fontId="4" fillId="0" borderId="1" xfId="49" applyFont="1" applyFill="1" applyBorder="1" applyAlignment="1">
      <alignment horizontal="justify" wrapText="1"/>
      <protection/>
    </xf>
    <xf numFmtId="168" fontId="4" fillId="0" borderId="1" xfId="49" applyNumberFormat="1" applyFont="1" applyFill="1" applyBorder="1" applyAlignment="1">
      <alignment horizontal="center" vertical="center"/>
      <protection/>
    </xf>
    <xf numFmtId="0" fontId="4" fillId="0" borderId="1" xfId="49" applyFont="1" applyFill="1" applyBorder="1" applyAlignment="1">
      <alignment horizontal="justify" vertical="center" wrapText="1"/>
      <protection/>
    </xf>
    <xf numFmtId="0" fontId="5" fillId="0" borderId="1" xfId="49" applyFont="1" applyFill="1" applyBorder="1" applyAlignment="1">
      <alignment horizontal="justify" wrapText="1"/>
      <protection/>
    </xf>
    <xf numFmtId="49" fontId="5" fillId="0" borderId="1" xfId="36" applyNumberFormat="1" applyFont="1" applyBorder="1" applyAlignment="1">
      <alignment horizontal="center" vertical="center"/>
      <protection/>
    </xf>
    <xf numFmtId="0" fontId="5" fillId="0" borderId="1" xfId="36" applyFont="1" applyFill="1" applyBorder="1" applyAlignment="1">
      <alignment horizontal="justify" wrapText="1"/>
      <protection/>
    </xf>
    <xf numFmtId="49" fontId="4" fillId="0" borderId="1" xfId="36" applyNumberFormat="1" applyFont="1" applyBorder="1" applyAlignment="1">
      <alignment horizontal="center" vertical="center"/>
      <protection/>
    </xf>
    <xf numFmtId="0" fontId="4" fillId="0" borderId="1" xfId="36" applyFont="1" applyFill="1" applyBorder="1" applyAlignment="1">
      <alignment horizontal="justify" wrapText="1"/>
      <protection/>
    </xf>
    <xf numFmtId="49" fontId="5" fillId="0" borderId="1" xfId="49" applyNumberFormat="1" applyFont="1" applyBorder="1" applyAlignment="1">
      <alignment horizontal="center" vertical="center"/>
      <protection/>
    </xf>
    <xf numFmtId="49" fontId="4" fillId="0" borderId="1" xfId="49" applyNumberFormat="1" applyFont="1" applyBorder="1" applyAlignment="1">
      <alignment horizontal="center" vertical="center"/>
      <protection/>
    </xf>
    <xf numFmtId="168" fontId="4" fillId="0" borderId="1" xfId="49" applyNumberFormat="1" applyFont="1" applyFill="1" applyBorder="1" applyAlignment="1">
      <alignment horizontal="center" vertical="center" wrapText="1"/>
      <protection/>
    </xf>
    <xf numFmtId="168" fontId="5" fillId="0" borderId="1" xfId="49" applyNumberFormat="1" applyFont="1" applyFill="1" applyBorder="1" applyAlignment="1">
      <alignment horizontal="center" vertical="center" wrapText="1"/>
      <protection/>
    </xf>
    <xf numFmtId="0" fontId="4" fillId="0" borderId="1" xfId="49" applyFont="1" applyBorder="1" applyAlignment="1">
      <alignment horizontal="center" vertical="center"/>
      <protection/>
    </xf>
    <xf numFmtId="0" fontId="4" fillId="0" borderId="1" xfId="36" applyFont="1" applyBorder="1" applyAlignment="1">
      <alignment horizontal="center" vertical="center"/>
      <protection/>
    </xf>
    <xf numFmtId="0" fontId="5" fillId="0" borderId="1" xfId="49" applyFont="1" applyBorder="1" applyAlignment="1">
      <alignment horizontal="center" vertical="center"/>
      <protection/>
    </xf>
    <xf numFmtId="0" fontId="5" fillId="0" borderId="1" xfId="36" applyFont="1" applyBorder="1" applyAlignment="1">
      <alignment horizontal="center" vertical="center"/>
      <protection/>
    </xf>
    <xf numFmtId="49" fontId="4" fillId="0" borderId="1" xfId="36" applyNumberFormat="1" applyFont="1" applyFill="1" applyBorder="1" applyAlignment="1">
      <alignment horizontal="center" vertical="center"/>
      <protection/>
    </xf>
    <xf numFmtId="3" fontId="4" fillId="0" borderId="1" xfId="49" applyNumberFormat="1" applyFont="1" applyBorder="1" applyAlignment="1">
      <alignment horizontal="center" vertical="center" wrapText="1"/>
      <protection/>
    </xf>
    <xf numFmtId="3" fontId="5" fillId="0" borderId="1" xfId="49" applyNumberFormat="1" applyFont="1" applyBorder="1" applyAlignment="1">
      <alignment horizontal="center" vertical="center" wrapText="1"/>
      <protection/>
    </xf>
    <xf numFmtId="0" fontId="5" fillId="0" borderId="1" xfId="49" applyNumberFormat="1" applyFont="1" applyFill="1" applyBorder="1" applyAlignment="1" applyProtection="1">
      <alignment horizontal="center" vertical="center"/>
      <protection/>
    </xf>
    <xf numFmtId="0" fontId="5" fillId="0" borderId="1" xfId="49" applyNumberFormat="1" applyFont="1" applyFill="1" applyBorder="1" applyAlignment="1" applyProtection="1">
      <alignment horizontal="justify" vertical="center" wrapText="1"/>
      <protection/>
    </xf>
    <xf numFmtId="0" fontId="5" fillId="0" borderId="1" xfId="49" applyFont="1" applyBorder="1" applyAlignment="1">
      <alignment horizontal="center" vertical="center" wrapText="1"/>
      <protection/>
    </xf>
    <xf numFmtId="0" fontId="5" fillId="0" borderId="1" xfId="49" applyFont="1" applyBorder="1" applyAlignment="1">
      <alignment horizontal="justify" vertical="center" wrapText="1"/>
      <protection/>
    </xf>
    <xf numFmtId="0" fontId="4" fillId="0" borderId="1" xfId="49" applyFont="1" applyBorder="1" applyAlignment="1">
      <alignment horizontal="justify" vertical="center" wrapText="1"/>
      <protection/>
    </xf>
    <xf numFmtId="0" fontId="4" fillId="0" borderId="1" xfId="49" applyNumberFormat="1" applyFont="1" applyFill="1" applyBorder="1" applyAlignment="1" applyProtection="1">
      <alignment horizontal="justify" vertical="center" wrapText="1"/>
      <protection/>
    </xf>
    <xf numFmtId="0" fontId="4" fillId="0" borderId="1" xfId="36" applyNumberFormat="1" applyFont="1" applyFill="1" applyBorder="1" applyAlignment="1" applyProtection="1">
      <alignment horizontal="center" vertical="center"/>
      <protection/>
    </xf>
    <xf numFmtId="0" fontId="4" fillId="0" borderId="1" xfId="36" applyFont="1" applyBorder="1" applyAlignment="1">
      <alignment horizontal="justify" vertical="center" wrapText="1"/>
      <protection/>
    </xf>
    <xf numFmtId="168" fontId="4" fillId="0" borderId="1" xfId="36" applyNumberFormat="1" applyFont="1" applyFill="1" applyBorder="1" applyAlignment="1">
      <alignment horizontal="center" vertical="center"/>
      <protection/>
    </xf>
    <xf numFmtId="0" fontId="4" fillId="0" borderId="1" xfId="49" applyNumberFormat="1" applyFont="1" applyFill="1" applyBorder="1" applyAlignment="1" applyProtection="1">
      <alignment horizontal="justify" vertical="top" wrapText="1"/>
      <protection/>
    </xf>
    <xf numFmtId="0" fontId="4" fillId="0" borderId="1" xfId="49" applyNumberFormat="1" applyFont="1" applyFill="1" applyBorder="1" applyAlignment="1" applyProtection="1">
      <alignment horizontal="center" vertical="center"/>
      <protection/>
    </xf>
    <xf numFmtId="0" fontId="5" fillId="0" borderId="1" xfId="36" applyNumberFormat="1" applyFont="1" applyFill="1" applyBorder="1" applyAlignment="1" applyProtection="1">
      <alignment horizontal="center" vertical="center"/>
      <protection/>
    </xf>
    <xf numFmtId="0" fontId="5" fillId="0" borderId="1" xfId="36" applyNumberFormat="1" applyFont="1" applyFill="1" applyBorder="1" applyAlignment="1" applyProtection="1">
      <alignment horizontal="justify" vertical="center" wrapText="1"/>
      <protection/>
    </xf>
    <xf numFmtId="168" fontId="5" fillId="0" borderId="1" xfId="36" applyNumberFormat="1" applyFont="1" applyFill="1" applyBorder="1" applyAlignment="1">
      <alignment horizontal="center" vertical="center"/>
      <protection/>
    </xf>
    <xf numFmtId="0" fontId="5" fillId="0" borderId="1" xfId="36" applyNumberFormat="1" applyFont="1" applyFill="1" applyBorder="1" applyAlignment="1" applyProtection="1">
      <alignment horizontal="left" vertical="center" wrapText="1"/>
      <protection/>
    </xf>
    <xf numFmtId="0" fontId="4" fillId="0" borderId="1" xfId="36" applyNumberFormat="1" applyFont="1" applyFill="1" applyBorder="1" applyAlignment="1" applyProtection="1">
      <alignment horizontal="left" vertical="center" wrapText="1"/>
      <protection/>
    </xf>
    <xf numFmtId="49" fontId="4" fillId="0" borderId="1" xfId="36" applyNumberFormat="1" applyFont="1" applyBorder="1" applyAlignment="1">
      <alignment vertical="center" wrapText="1"/>
      <protection/>
    </xf>
    <xf numFmtId="49" fontId="5" fillId="0" borderId="1" xfId="36" applyNumberFormat="1" applyFont="1" applyFill="1" applyBorder="1" applyAlignment="1">
      <alignment horizontal="left" vertical="center"/>
      <protection/>
    </xf>
    <xf numFmtId="0" fontId="5" fillId="0" borderId="1" xfId="36" applyFont="1" applyFill="1" applyBorder="1" applyAlignment="1">
      <alignment horizontal="left" vertical="center" wrapText="1"/>
      <protection/>
    </xf>
    <xf numFmtId="0" fontId="4" fillId="0" borderId="0" xfId="36" applyFont="1" applyFill="1" applyBorder="1" applyAlignment="1">
      <alignment horizontal="left" vertical="center" wrapText="1"/>
      <protection/>
    </xf>
    <xf numFmtId="0" fontId="4" fillId="2" borderId="0" xfId="36" applyFont="1" applyFill="1" applyAlignment="1">
      <alignment horizontal="center" vertical="center" wrapText="1"/>
      <protection/>
    </xf>
    <xf numFmtId="0" fontId="4" fillId="0" borderId="0" xfId="36" applyFont="1" applyAlignment="1">
      <alignment/>
      <protection/>
    </xf>
    <xf numFmtId="0" fontId="5" fillId="0" borderId="0" xfId="36" applyFont="1" applyAlignment="1">
      <alignment/>
      <protection/>
    </xf>
    <xf numFmtId="0" fontId="19" fillId="0" borderId="1" xfId="36" applyFont="1" applyBorder="1" applyAlignment="1">
      <alignment horizontal="center" vertical="center" wrapText="1"/>
      <protection/>
    </xf>
    <xf numFmtId="0" fontId="20" fillId="0" borderId="1" xfId="36" applyFont="1" applyBorder="1" applyAlignment="1">
      <alignment horizontal="center" vertical="center" wrapText="1"/>
      <protection/>
    </xf>
    <xf numFmtId="4" fontId="4" fillId="0" borderId="0" xfId="36" applyNumberFormat="1" applyFont="1" applyAlignment="1">
      <alignment/>
      <protection/>
    </xf>
    <xf numFmtId="0" fontId="5" fillId="0" borderId="1" xfId="36" applyFont="1" applyFill="1" applyBorder="1" applyAlignment="1">
      <alignment horizontal="center" vertical="center" wrapText="1"/>
      <protection/>
    </xf>
    <xf numFmtId="4" fontId="5" fillId="0" borderId="0" xfId="36" applyNumberFormat="1" applyFont="1" applyAlignment="1">
      <alignment/>
      <protection/>
    </xf>
    <xf numFmtId="49" fontId="20" fillId="2" borderId="1" xfId="36" applyNumberFormat="1" applyFont="1" applyFill="1" applyBorder="1" applyAlignment="1">
      <alignment horizontal="center" vertical="center" shrinkToFit="1"/>
      <protection/>
    </xf>
    <xf numFmtId="2" fontId="4" fillId="2" borderId="1" xfId="36" applyNumberFormat="1" applyFont="1" applyFill="1" applyBorder="1" applyAlignment="1">
      <alignment horizontal="center" vertical="center" shrinkToFit="1"/>
      <protection/>
    </xf>
    <xf numFmtId="49" fontId="5" fillId="2" borderId="1" xfId="36" applyNumberFormat="1" applyFont="1" applyFill="1" applyBorder="1" applyAlignment="1">
      <alignment horizontal="center" vertical="center" shrinkToFit="1"/>
      <protection/>
    </xf>
    <xf numFmtId="49" fontId="19" fillId="2" borderId="1" xfId="36" applyNumberFormat="1" applyFont="1" applyFill="1" applyBorder="1" applyAlignment="1">
      <alignment horizontal="center" vertical="center" shrinkToFit="1"/>
      <protection/>
    </xf>
    <xf numFmtId="0" fontId="4" fillId="0" borderId="0" xfId="36" applyFont="1" applyAlignment="1">
      <alignment horizontal="center" vertical="center"/>
      <protection/>
    </xf>
    <xf numFmtId="168" fontId="4" fillId="0" borderId="0" xfId="36" applyNumberFormat="1" applyFont="1" applyFill="1" applyAlignment="1">
      <alignment/>
      <protection/>
    </xf>
    <xf numFmtId="0" fontId="0" fillId="0" borderId="0" xfId="37">
      <alignment/>
      <protection/>
    </xf>
    <xf numFmtId="0" fontId="8" fillId="0" borderId="0" xfId="0" applyFont="1" applyAlignment="1">
      <alignment/>
    </xf>
    <xf numFmtId="0" fontId="22" fillId="0" borderId="0" xfId="50" applyFont="1" applyAlignment="1" applyProtection="1">
      <alignment vertical="top" wrapText="1"/>
      <protection locked="0"/>
    </xf>
    <xf numFmtId="0" fontId="5" fillId="0" borderId="1" xfId="0" applyFont="1" applyBorder="1" applyAlignment="1">
      <alignment horizontal="left" wrapText="1"/>
    </xf>
    <xf numFmtId="164" fontId="5" fillId="0" borderId="1" xfId="0" applyNumberFormat="1" applyFont="1" applyBorder="1" applyAlignment="1">
      <alignment horizontal="center" vertical="center" wrapText="1"/>
    </xf>
    <xf numFmtId="0" fontId="10" fillId="0" borderId="0" xfId="50" applyFont="1" applyAlignment="1" applyProtection="1">
      <alignment vertical="top" wrapText="1"/>
      <protection locked="0"/>
    </xf>
    <xf numFmtId="0" fontId="7" fillId="0" borderId="1" xfId="0" applyFont="1" applyFill="1" applyBorder="1" applyAlignment="1">
      <alignment vertical="center" wrapText="1"/>
    </xf>
    <xf numFmtId="0" fontId="9" fillId="0" borderId="1" xfId="0" applyFont="1" applyFill="1" applyBorder="1" applyAlignment="1">
      <alignment vertical="center" wrapText="1"/>
    </xf>
    <xf numFmtId="0" fontId="4" fillId="0" borderId="0" xfId="0" applyFont="1" applyFill="1" applyAlignment="1">
      <alignment horizontal="center" vertical="center" wrapText="1"/>
    </xf>
    <xf numFmtId="0" fontId="5" fillId="0" borderId="1" xfId="36" applyFont="1" applyBorder="1" applyAlignment="1">
      <alignment horizontal="center" vertical="center" wrapText="1"/>
      <protection/>
    </xf>
    <xf numFmtId="0" fontId="4" fillId="2" borderId="1" xfId="36" applyFont="1" applyFill="1" applyBorder="1" applyAlignment="1">
      <alignment horizontal="justify" vertical="center" wrapText="1"/>
      <protection/>
    </xf>
    <xf numFmtId="0" fontId="4" fillId="0" borderId="1" xfId="46" applyFont="1" applyBorder="1" applyAlignment="1">
      <alignment horizontal="center" vertical="center" wrapText="1"/>
      <protection/>
    </xf>
    <xf numFmtId="0" fontId="4" fillId="0" borderId="1" xfId="0" applyFont="1" applyBorder="1" applyAlignment="1">
      <alignment horizontal="center" vertical="center" wrapText="1"/>
    </xf>
    <xf numFmtId="0" fontId="14" fillId="0" borderId="1" xfId="48" applyFont="1" applyBorder="1" applyAlignment="1">
      <alignment horizontal="left" vertical="center" wrapText="1"/>
      <protection/>
    </xf>
    <xf numFmtId="0" fontId="14" fillId="0" borderId="1" xfId="48" applyFont="1" applyBorder="1" applyAlignment="1">
      <alignment horizontal="center" vertical="center" wrapText="1"/>
      <protection/>
    </xf>
    <xf numFmtId="49" fontId="5" fillId="0" borderId="1" xfId="0" applyNumberFormat="1" applyFont="1" applyBorder="1" applyAlignment="1">
      <alignment horizontal="center"/>
    </xf>
    <xf numFmtId="0" fontId="8" fillId="0" borderId="0" xfId="0" applyFont="1" applyAlignment="1">
      <alignment horizontal="right"/>
    </xf>
    <xf numFmtId="0" fontId="5" fillId="0" borderId="0" xfId="0" applyFont="1" applyAlignment="1">
      <alignment horizontal="center" wrapText="1"/>
    </xf>
    <xf numFmtId="0" fontId="10" fillId="0" borderId="0" xfId="50" applyFont="1" applyAlignment="1" applyProtection="1">
      <alignment horizontal="center" vertical="top" wrapText="1"/>
      <protection locked="0"/>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1" fontId="8" fillId="0" borderId="4" xfId="0" applyNumberFormat="1"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0" fillId="0" borderId="0" xfId="50" applyFont="1" applyAlignment="1" applyProtection="1">
      <alignment horizontal="center" vertical="center" wrapText="1"/>
      <protection locked="0"/>
    </xf>
    <xf numFmtId="49" fontId="4" fillId="0" borderId="4"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8" fillId="0" borderId="0" xfId="36" applyFont="1" applyFill="1" applyBorder="1" applyAlignment="1">
      <alignment horizontal="right" vertical="center"/>
      <protection/>
    </xf>
    <xf numFmtId="0" fontId="17" fillId="0" borderId="0" xfId="36" applyNumberFormat="1" applyFont="1" applyBorder="1" applyAlignment="1">
      <alignment horizontal="center" vertical="center" wrapText="1"/>
      <protection/>
    </xf>
    <xf numFmtId="0" fontId="8" fillId="0" borderId="0" xfId="36" applyFont="1" applyAlignment="1">
      <alignment horizontal="right"/>
      <protection/>
    </xf>
    <xf numFmtId="0" fontId="5" fillId="2" borderId="0" xfId="36" applyFont="1" applyFill="1" applyAlignment="1">
      <alignment horizontal="center" wrapText="1"/>
      <protection/>
    </xf>
    <xf numFmtId="0" fontId="5" fillId="0" borderId="1" xfId="36" applyFont="1" applyBorder="1" applyAlignment="1">
      <alignment horizontal="center" vertical="center" wrapText="1"/>
      <protection/>
    </xf>
    <xf numFmtId="0" fontId="4" fillId="2" borderId="1" xfId="36" applyFont="1" applyFill="1" applyBorder="1" applyAlignment="1">
      <alignment horizontal="left" vertical="center" wrapText="1"/>
      <protection/>
    </xf>
    <xf numFmtId="0" fontId="4" fillId="2" borderId="1" xfId="36" applyFont="1" applyFill="1" applyBorder="1" applyAlignment="1">
      <alignment horizontal="justify" vertical="center" wrapText="1"/>
      <protection/>
    </xf>
    <xf numFmtId="0" fontId="5" fillId="0" borderId="0" xfId="36" applyNumberFormat="1" applyFont="1" applyBorder="1" applyAlignment="1">
      <alignment horizontal="center" vertical="center" wrapText="1"/>
      <protection/>
    </xf>
    <xf numFmtId="0" fontId="14" fillId="2" borderId="1" xfId="36" applyFont="1" applyFill="1" applyBorder="1" applyAlignment="1">
      <alignment horizontal="center" vertical="center" wrapText="1"/>
      <protection/>
    </xf>
    <xf numFmtId="168" fontId="14" fillId="0" borderId="1" xfId="36" applyNumberFormat="1" applyFont="1" applyFill="1" applyBorder="1" applyAlignment="1">
      <alignment horizontal="center" vertical="center" wrapText="1"/>
      <protection/>
    </xf>
    <xf numFmtId="49" fontId="5" fillId="2" borderId="1" xfId="36" applyNumberFormat="1" applyFont="1" applyFill="1" applyBorder="1" applyAlignment="1">
      <alignment horizontal="left" vertical="top" shrinkToFit="1"/>
      <protection/>
    </xf>
    <xf numFmtId="0" fontId="5" fillId="0" borderId="0" xfId="0" applyFont="1" applyFill="1" applyAlignment="1">
      <alignment horizontal="center" vertical="center"/>
    </xf>
    <xf numFmtId="0" fontId="5" fillId="0" borderId="0" xfId="0" applyFont="1" applyFill="1" applyBorder="1" applyAlignment="1">
      <alignment horizontal="center" vertical="center" wrapText="1" shrinkToFit="1"/>
    </xf>
    <xf numFmtId="0" fontId="8" fillId="0" borderId="0" xfId="0" applyFont="1" applyFill="1" applyAlignment="1">
      <alignment horizontal="right"/>
    </xf>
    <xf numFmtId="0" fontId="5" fillId="0" borderId="0" xfId="0" applyFont="1" applyFill="1" applyBorder="1" applyAlignment="1">
      <alignment horizontal="center" vertical="center" wrapText="1"/>
    </xf>
    <xf numFmtId="164" fontId="8" fillId="0" borderId="0" xfId="0" applyNumberFormat="1" applyFont="1" applyFill="1" applyAlignment="1">
      <alignment horizontal="right" vertical="center" wrapText="1"/>
    </xf>
    <xf numFmtId="0" fontId="8" fillId="0" borderId="0" xfId="0" applyFont="1" applyFill="1" applyAlignment="1">
      <alignment horizontal="right" vertical="center" wrapText="1"/>
    </xf>
    <xf numFmtId="0" fontId="8" fillId="0" borderId="0" xfId="0" applyFont="1" applyFill="1" applyBorder="1" applyAlignment="1">
      <alignment horizontal="right" vertical="center" wrapText="1"/>
    </xf>
    <xf numFmtId="0" fontId="8" fillId="0" borderId="0" xfId="0" applyFont="1" applyFill="1" applyAlignment="1">
      <alignment horizontal="right" wrapText="1"/>
    </xf>
    <xf numFmtId="0" fontId="8" fillId="0" borderId="0" xfId="0" applyFont="1" applyFill="1" applyBorder="1" applyAlignment="1">
      <alignment horizontal="right" wrapText="1"/>
    </xf>
    <xf numFmtId="0" fontId="4" fillId="0" borderId="0" xfId="0" applyFont="1" applyFill="1" applyAlignment="1">
      <alignment horizontal="center" vertical="center" wrapText="1"/>
    </xf>
    <xf numFmtId="0" fontId="4" fillId="0" borderId="1" xfId="46" applyFont="1" applyBorder="1" applyAlignment="1">
      <alignment horizontal="center" vertical="center" wrapText="1"/>
      <protection/>
    </xf>
    <xf numFmtId="0" fontId="4" fillId="0" borderId="0" xfId="0" applyFont="1" applyAlignment="1">
      <alignment horizontal="right" vertical="top" wrapText="1"/>
    </xf>
    <xf numFmtId="0" fontId="4" fillId="0" borderId="1" xfId="0" applyFont="1" applyBorder="1" applyAlignment="1">
      <alignment horizontal="center" vertical="center" wrapText="1"/>
    </xf>
    <xf numFmtId="0" fontId="8" fillId="0" borderId="0" xfId="48" applyFont="1" applyAlignment="1">
      <alignment horizontal="right"/>
      <protection/>
    </xf>
    <xf numFmtId="0" fontId="8" fillId="0" borderId="1" xfId="48" applyFont="1" applyBorder="1" applyAlignment="1">
      <alignment horizontal="center" vertical="center" wrapText="1"/>
      <protection/>
    </xf>
    <xf numFmtId="0" fontId="5" fillId="0" borderId="0" xfId="48" applyFont="1" applyBorder="1" applyAlignment="1">
      <alignment horizontal="center"/>
      <protection/>
    </xf>
    <xf numFmtId="0" fontId="5" fillId="0" borderId="0" xfId="48" applyFont="1" applyAlignment="1">
      <alignment horizontal="center"/>
      <protection/>
    </xf>
    <xf numFmtId="0" fontId="14" fillId="0" borderId="1" xfId="48" applyFont="1" applyBorder="1" applyAlignment="1">
      <alignment horizontal="left" vertical="center" wrapText="1"/>
      <protection/>
    </xf>
    <xf numFmtId="0" fontId="14" fillId="0" borderId="1" xfId="48" applyFont="1" applyBorder="1" applyAlignment="1">
      <alignment horizontal="center" vertical="center" wrapText="1"/>
      <protection/>
    </xf>
    <xf numFmtId="0" fontId="4" fillId="0" borderId="0" xfId="46" applyFont="1" applyAlignment="1">
      <alignment horizontal="left" vertical="top" wrapText="1"/>
      <protection/>
    </xf>
    <xf numFmtId="0" fontId="14" fillId="0" borderId="0" xfId="46" applyFont="1" applyAlignment="1">
      <alignment horizontal="right" vertical="top" wrapText="1"/>
      <protection/>
    </xf>
    <xf numFmtId="41" fontId="14" fillId="0" borderId="0" xfId="45" applyFont="1" applyAlignment="1">
      <alignment horizontal="right" vertical="top" wrapText="1"/>
    </xf>
    <xf numFmtId="0" fontId="5" fillId="0" borderId="0" xfId="46" applyFont="1" applyAlignment="1">
      <alignment horizontal="center" vertical="top" wrapText="1"/>
      <protection/>
    </xf>
    <xf numFmtId="0" fontId="4" fillId="0" borderId="0" xfId="46" applyFont="1" applyAlignment="1">
      <alignment horizontal="left" vertical="center" wrapText="1"/>
      <protection/>
    </xf>
    <xf numFmtId="49" fontId="4" fillId="0" borderId="1" xfId="0" applyNumberFormat="1" applyFont="1" applyBorder="1" applyAlignment="1">
      <alignment horizontal="center" vertical="center" wrapText="1"/>
    </xf>
    <xf numFmtId="1"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5" fillId="0" borderId="1" xfId="0" applyNumberFormat="1" applyFont="1" applyBorder="1" applyAlignment="1">
      <alignment horizontal="center" vertical="center"/>
    </xf>
    <xf numFmtId="0" fontId="5" fillId="0" borderId="1" xfId="36" applyFont="1" applyBorder="1" applyAlignment="1">
      <alignment horizontal="justify" vertical="center" wrapText="1"/>
      <protection/>
    </xf>
    <xf numFmtId="0" fontId="4" fillId="0" borderId="1" xfId="36" applyFont="1" applyBorder="1" applyAlignment="1">
      <alignment horizontal="justify" wrapText="1"/>
      <protection/>
    </xf>
    <xf numFmtId="0" fontId="5" fillId="0" borderId="1" xfId="36" applyFont="1" applyBorder="1" applyAlignment="1">
      <alignment horizontal="justify" wrapText="1"/>
      <protection/>
    </xf>
    <xf numFmtId="168" fontId="4" fillId="0" borderId="1" xfId="36" applyNumberFormat="1" applyFont="1" applyBorder="1" applyAlignment="1">
      <alignment horizontal="center" vertical="center"/>
      <protection/>
    </xf>
    <xf numFmtId="0" fontId="4" fillId="0" borderId="1" xfId="36" applyFont="1" applyBorder="1" applyAlignment="1">
      <alignment horizontal="center" vertical="center" wrapText="1"/>
      <protection/>
    </xf>
    <xf numFmtId="0" fontId="4" fillId="2" borderId="1" xfId="36" applyFont="1" applyFill="1" applyBorder="1" applyAlignment="1">
      <alignment horizontal="center" vertical="center" wrapText="1"/>
      <protection/>
    </xf>
    <xf numFmtId="168" fontId="4" fillId="0" borderId="1" xfId="36" applyNumberFormat="1" applyFont="1" applyFill="1" applyBorder="1" applyAlignment="1">
      <alignment horizontal="center" vertical="center" wrapText="1"/>
      <protection/>
    </xf>
    <xf numFmtId="0" fontId="5" fillId="2" borderId="1" xfId="36" applyFont="1" applyFill="1" applyBorder="1" applyAlignment="1">
      <alignment horizontal="center" vertical="center" wrapText="1"/>
      <protection/>
    </xf>
    <xf numFmtId="0" fontId="5" fillId="0" borderId="1" xfId="36" applyFont="1" applyFill="1" applyBorder="1" applyAlignment="1">
      <alignment horizontal="center" vertical="top" wrapText="1"/>
      <protection/>
    </xf>
    <xf numFmtId="2" fontId="4" fillId="0" borderId="1" xfId="36" applyNumberFormat="1" applyFont="1" applyFill="1" applyBorder="1" applyAlignment="1">
      <alignment horizontal="center" vertical="center" shrinkToFit="1"/>
      <protection/>
    </xf>
    <xf numFmtId="0" fontId="5" fillId="2" borderId="1" xfId="36" applyFont="1" applyFill="1" applyBorder="1" applyAlignment="1">
      <alignment horizontal="center" vertical="top" wrapText="1"/>
      <protection/>
    </xf>
    <xf numFmtId="49" fontId="5" fillId="0" borderId="1" xfId="36" applyNumberFormat="1" applyFont="1" applyBorder="1" applyAlignment="1">
      <alignment horizontal="center" vertical="center" wrapText="1"/>
      <protection/>
    </xf>
    <xf numFmtId="49" fontId="5" fillId="2" borderId="1" xfId="36" applyNumberFormat="1" applyFont="1" applyFill="1" applyBorder="1" applyAlignment="1">
      <alignment horizontal="center" vertical="top" wrapText="1"/>
      <protection/>
    </xf>
    <xf numFmtId="0" fontId="23" fillId="0" borderId="0" xfId="36" applyNumberFormat="1" applyFont="1" applyBorder="1" applyAlignment="1">
      <alignment horizontal="right"/>
      <protection/>
    </xf>
    <xf numFmtId="0" fontId="15" fillId="0" borderId="1" xfId="48" applyFont="1" applyBorder="1" applyAlignment="1">
      <alignment horizontal="center" vertical="center" wrapText="1"/>
      <protection/>
    </xf>
  </cellXfs>
  <cellStyles count="37">
    <cellStyle name="Normal" xfId="0"/>
    <cellStyle name="Percent" xfId="15"/>
    <cellStyle name="Currency" xfId="16"/>
    <cellStyle name="Currency [0]" xfId="17"/>
    <cellStyle name="Comma" xfId="18"/>
    <cellStyle name="Comma [0]" xfId="19"/>
    <cellStyle name="Обычный 2" xfId="20"/>
    <cellStyle name="Обычный 3" xfId="21"/>
    <cellStyle name="Обычный 4" xfId="22"/>
    <cellStyle name="Финансовый 2" xfId="23"/>
    <cellStyle name="Обычный 5" xfId="24"/>
    <cellStyle name="Обычный 6" xfId="25"/>
    <cellStyle name="Обычный 7" xfId="26"/>
    <cellStyle name="Обычный 8" xfId="27"/>
    <cellStyle name="Обычный 4 2" xfId="28"/>
    <cellStyle name="Обычный 9" xfId="29"/>
    <cellStyle name="Обычный 2 2" xfId="30"/>
    <cellStyle name="Обычный 4 2 2" xfId="31"/>
    <cellStyle name="Обычный 2 3" xfId="32"/>
    <cellStyle name="Обычный 2 4" xfId="33"/>
    <cellStyle name="Обычный 2 5" xfId="34"/>
    <cellStyle name="Обычный 4 2 2 2" xfId="35"/>
    <cellStyle name="Обычный 10" xfId="36"/>
    <cellStyle name="Обычный 11" xfId="37"/>
    <cellStyle name="Обычный 2 6" xfId="38"/>
    <cellStyle name="Обычный 2 7" xfId="39"/>
    <cellStyle name="Обычный 4 2 2 2 2" xfId="40"/>
    <cellStyle name="Обычный 2 8" xfId="41"/>
    <cellStyle name="Обычный 12" xfId="42"/>
    <cellStyle name="Финансовый" xfId="43"/>
    <cellStyle name="Обычный 2 8 2" xfId="44"/>
    <cellStyle name="Финансовый [0]" xfId="45"/>
    <cellStyle name="Обычный_приложение_Программа госзаимствований 2003" xfId="46"/>
    <cellStyle name="Обычный_Прилож. № (общее образ) " xfId="47"/>
    <cellStyle name="Обычный 4 2 2 2 2 2" xfId="48"/>
    <cellStyle name="Обычный 2 9" xfId="49"/>
    <cellStyle name="Обычный_Лист1" xfId="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24"/>
  <sheetViews>
    <sheetView workbookViewId="0" topLeftCell="A4">
      <selection activeCell="A4" sqref="A4"/>
    </sheetView>
  </sheetViews>
  <sheetFormatPr defaultColWidth="9.125" defaultRowHeight="12.75"/>
  <cols>
    <col min="1" max="1" width="31.75390625" style="2" customWidth="1"/>
    <col min="2" max="2" width="45.00390625" style="2" customWidth="1"/>
    <col min="3" max="3" width="14.875" style="24" customWidth="1"/>
    <col min="4" max="4" width="14.25390625" style="2" customWidth="1"/>
    <col min="5" max="16384" width="9.125" style="2" customWidth="1"/>
  </cols>
  <sheetData>
    <row r="1" spans="1:4" ht="12.75">
      <c r="A1" s="238" t="s">
        <v>39</v>
      </c>
      <c r="B1" s="238"/>
      <c r="C1" s="238"/>
      <c r="D1" s="238"/>
    </row>
    <row r="2" spans="1:4" ht="12.75">
      <c r="A2" s="238" t="s">
        <v>1145</v>
      </c>
      <c r="B2" s="238"/>
      <c r="C2" s="238"/>
      <c r="D2" s="238"/>
    </row>
    <row r="3" spans="1:4" ht="12.75">
      <c r="A3" s="238" t="s">
        <v>1147</v>
      </c>
      <c r="B3" s="238"/>
      <c r="C3" s="238"/>
      <c r="D3" s="238"/>
    </row>
    <row r="6" spans="1:4" ht="16.9" customHeight="1">
      <c r="A6" s="239" t="s">
        <v>40</v>
      </c>
      <c r="B6" s="239"/>
      <c r="C6" s="239"/>
      <c r="D6" s="239"/>
    </row>
    <row r="7" spans="1:4" ht="16.9" customHeight="1">
      <c r="A7" s="239" t="s">
        <v>577</v>
      </c>
      <c r="B7" s="239"/>
      <c r="C7" s="239"/>
      <c r="D7" s="239"/>
    </row>
    <row r="8" ht="12.75">
      <c r="D8" s="111" t="s">
        <v>641</v>
      </c>
    </row>
    <row r="9" spans="1:4" ht="49.5">
      <c r="A9" s="47" t="s">
        <v>370</v>
      </c>
      <c r="B9" s="48" t="s">
        <v>36</v>
      </c>
      <c r="C9" s="110" t="s">
        <v>575</v>
      </c>
      <c r="D9" s="16" t="s">
        <v>576</v>
      </c>
    </row>
    <row r="10" spans="1:4" ht="12.75">
      <c r="A10" s="36" t="s">
        <v>15</v>
      </c>
      <c r="B10" s="37">
        <v>2</v>
      </c>
      <c r="C10" s="37">
        <v>3</v>
      </c>
      <c r="D10" s="112">
        <v>4</v>
      </c>
    </row>
    <row r="11" spans="1:4" ht="49.5">
      <c r="A11" s="17" t="s">
        <v>522</v>
      </c>
      <c r="B11" s="18" t="s">
        <v>523</v>
      </c>
      <c r="C11" s="94">
        <f>C12</f>
        <v>20000</v>
      </c>
      <c r="D11" s="94">
        <f>D12</f>
        <v>20000</v>
      </c>
    </row>
    <row r="12" spans="1:4" ht="66">
      <c r="A12" s="19" t="s">
        <v>524</v>
      </c>
      <c r="B12" s="20" t="s">
        <v>525</v>
      </c>
      <c r="C12" s="93">
        <f>C13</f>
        <v>20000</v>
      </c>
      <c r="D12" s="93">
        <f>D13</f>
        <v>20000</v>
      </c>
    </row>
    <row r="13" spans="1:4" ht="66">
      <c r="A13" s="19" t="s">
        <v>526</v>
      </c>
      <c r="B13" s="20" t="s">
        <v>527</v>
      </c>
      <c r="C13" s="93">
        <v>20000</v>
      </c>
      <c r="D13" s="93">
        <v>20000</v>
      </c>
    </row>
    <row r="14" spans="1:4" ht="33">
      <c r="A14" s="17" t="s">
        <v>41</v>
      </c>
      <c r="B14" s="18" t="s">
        <v>126</v>
      </c>
      <c r="C14" s="38">
        <v>16308.5</v>
      </c>
      <c r="D14" s="38">
        <f>D15+D18</f>
        <v>8448</v>
      </c>
    </row>
    <row r="15" spans="1:4" ht="12.75">
      <c r="A15" s="19" t="s">
        <v>42</v>
      </c>
      <c r="B15" s="20" t="s">
        <v>43</v>
      </c>
      <c r="C15" s="39">
        <f aca="true" t="shared" si="0" ref="C15:D16">C16</f>
        <v>-641720.3</v>
      </c>
      <c r="D15" s="39">
        <f t="shared" si="0"/>
        <v>-651045.1</v>
      </c>
    </row>
    <row r="16" spans="1:4" ht="33">
      <c r="A16" s="19" t="s">
        <v>44</v>
      </c>
      <c r="B16" s="20" t="s">
        <v>45</v>
      </c>
      <c r="C16" s="39">
        <f t="shared" si="0"/>
        <v>-641720.3</v>
      </c>
      <c r="D16" s="39">
        <f t="shared" si="0"/>
        <v>-651045.1</v>
      </c>
    </row>
    <row r="17" spans="1:4" ht="33">
      <c r="A17" s="19" t="s">
        <v>46</v>
      </c>
      <c r="B17" s="20" t="s">
        <v>47</v>
      </c>
      <c r="C17" s="95">
        <f>-621528.8-20000-191.5</f>
        <v>-641720.3</v>
      </c>
      <c r="D17" s="95">
        <v>-651045.1</v>
      </c>
    </row>
    <row r="18" spans="1:4" ht="12.75">
      <c r="A18" s="19" t="s">
        <v>48</v>
      </c>
      <c r="B18" s="20" t="s">
        <v>49</v>
      </c>
      <c r="C18" s="39">
        <f aca="true" t="shared" si="1" ref="C18:D19">C19</f>
        <v>657743.9</v>
      </c>
      <c r="D18" s="39">
        <f t="shared" si="1"/>
        <v>659493.1</v>
      </c>
    </row>
    <row r="19" spans="1:4" ht="33">
      <c r="A19" s="19" t="s">
        <v>50</v>
      </c>
      <c r="B19" s="20" t="s">
        <v>51</v>
      </c>
      <c r="C19" s="39">
        <f t="shared" si="1"/>
        <v>657743.9</v>
      </c>
      <c r="D19" s="39">
        <f t="shared" si="1"/>
        <v>659493.1</v>
      </c>
    </row>
    <row r="20" spans="1:4" ht="33">
      <c r="A20" s="19" t="s">
        <v>52</v>
      </c>
      <c r="B20" s="20" t="s">
        <v>53</v>
      </c>
      <c r="C20" s="39">
        <v>657743.9</v>
      </c>
      <c r="D20" s="39">
        <v>659493.1</v>
      </c>
    </row>
    <row r="21" spans="1:4" ht="12.75">
      <c r="A21" s="237" t="s">
        <v>54</v>
      </c>
      <c r="B21" s="237"/>
      <c r="C21" s="38">
        <f>C14+C11</f>
        <v>36308.5</v>
      </c>
      <c r="D21" s="38">
        <f>D14+D11</f>
        <v>28448</v>
      </c>
    </row>
    <row r="23" spans="1:2" ht="12.75">
      <c r="A23" s="21"/>
      <c r="B23" s="22"/>
    </row>
    <row r="24" ht="12.75">
      <c r="B24" s="1"/>
    </row>
  </sheetData>
  <mergeCells count="6">
    <mergeCell ref="A21:B21"/>
    <mergeCell ref="A1:D1"/>
    <mergeCell ref="A2:D2"/>
    <mergeCell ref="A3:D3"/>
    <mergeCell ref="A6:D6"/>
    <mergeCell ref="A7:D7"/>
  </mergeCells>
  <printOptions/>
  <pageMargins left="0.5905511811023623" right="0.1968503937007874" top="0.1968503937007874" bottom="0" header="0.5118110236220472" footer="0.5118110236220472"/>
  <pageSetup fitToHeight="0" fitToWidth="1"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sheetPr>
    <pageSetUpPr fitToPage="1"/>
  </sheetPr>
  <dimension ref="A1:F87"/>
  <sheetViews>
    <sheetView workbookViewId="0" topLeftCell="A1">
      <selection activeCell="H96" sqref="H96"/>
    </sheetView>
  </sheetViews>
  <sheetFormatPr defaultColWidth="9.125" defaultRowHeight="12.75"/>
  <cols>
    <col min="1" max="1" width="7.125" style="83" customWidth="1"/>
    <col min="2" max="2" width="10.125" style="68" customWidth="1"/>
    <col min="3" max="3" width="7.00390625" style="92" customWidth="1"/>
    <col min="4" max="4" width="77.75390625" style="43" customWidth="1"/>
    <col min="5" max="5" width="13.875" style="59" customWidth="1"/>
    <col min="6" max="6" width="14.25390625" style="43" customWidth="1"/>
    <col min="7" max="16384" width="9.125" style="43" customWidth="1"/>
  </cols>
  <sheetData>
    <row r="1" spans="1:6" ht="16.9" customHeight="1">
      <c r="A1" s="109"/>
      <c r="B1" s="60"/>
      <c r="C1" s="108"/>
      <c r="D1" s="265" t="s">
        <v>583</v>
      </c>
      <c r="E1" s="265"/>
      <c r="F1" s="265"/>
    </row>
    <row r="2" spans="1:6" ht="16.9" customHeight="1">
      <c r="A2" s="268" t="s">
        <v>1145</v>
      </c>
      <c r="B2" s="268"/>
      <c r="C2" s="268"/>
      <c r="D2" s="268"/>
      <c r="E2" s="268"/>
      <c r="F2" s="268"/>
    </row>
    <row r="3" spans="1:6" ht="16.9" customHeight="1">
      <c r="A3" s="269" t="s">
        <v>1146</v>
      </c>
      <c r="B3" s="269"/>
      <c r="C3" s="269"/>
      <c r="D3" s="269"/>
      <c r="E3" s="269"/>
      <c r="F3" s="269"/>
    </row>
    <row r="4" spans="1:5" ht="12.75">
      <c r="A4" s="75"/>
      <c r="B4" s="84"/>
      <c r="C4" s="58"/>
      <c r="D4" s="76"/>
      <c r="E4" s="77"/>
    </row>
    <row r="5" spans="1:6" s="57" customFormat="1" ht="51.75" customHeight="1">
      <c r="A5" s="264" t="s">
        <v>584</v>
      </c>
      <c r="B5" s="264"/>
      <c r="C5" s="264"/>
      <c r="D5" s="264"/>
      <c r="E5" s="264"/>
      <c r="F5" s="264"/>
    </row>
    <row r="6" spans="1:6" ht="12.75">
      <c r="A6" s="78"/>
      <c r="B6" s="85"/>
      <c r="C6" s="79"/>
      <c r="D6" s="80"/>
      <c r="E6" s="81"/>
      <c r="F6" s="111" t="s">
        <v>641</v>
      </c>
    </row>
    <row r="7" spans="1:6" ht="49.5">
      <c r="A7" s="51" t="s">
        <v>216</v>
      </c>
      <c r="B7" s="51" t="s">
        <v>215</v>
      </c>
      <c r="C7" s="51" t="s">
        <v>33</v>
      </c>
      <c r="D7" s="16" t="s">
        <v>36</v>
      </c>
      <c r="E7" s="233" t="s">
        <v>575</v>
      </c>
      <c r="F7" s="16" t="s">
        <v>576</v>
      </c>
    </row>
    <row r="8" spans="1:6" ht="12.75">
      <c r="A8" s="61">
        <v>1</v>
      </c>
      <c r="B8" s="62" t="s">
        <v>117</v>
      </c>
      <c r="C8" s="16">
        <v>3</v>
      </c>
      <c r="D8" s="61">
        <v>4</v>
      </c>
      <c r="E8" s="53">
        <v>5</v>
      </c>
      <c r="F8" s="61">
        <v>6</v>
      </c>
    </row>
    <row r="9" spans="1:6" s="56" customFormat="1" ht="12.75">
      <c r="A9" s="82"/>
      <c r="B9" s="64"/>
      <c r="C9" s="65"/>
      <c r="D9" s="63" t="s">
        <v>4</v>
      </c>
      <c r="E9" s="52">
        <f>E10+E20+E23+E28+E33+E40+E45+E50+E63+E68+E77</f>
        <v>657743.9</v>
      </c>
      <c r="F9" s="52">
        <f>F10+F20+F23+F28+F33+F40+F45+F50+F63+F68+F77</f>
        <v>648453.5000000002</v>
      </c>
    </row>
    <row r="10" spans="1:6" s="56" customFormat="1" ht="49.5">
      <c r="A10" s="33" t="s">
        <v>217</v>
      </c>
      <c r="B10" s="33"/>
      <c r="C10" s="33"/>
      <c r="D10" s="34" t="s">
        <v>127</v>
      </c>
      <c r="E10" s="52">
        <f>E11+E14+E18+E16</f>
        <v>424688.9</v>
      </c>
      <c r="F10" s="52">
        <f>F11+F14+F18+F16</f>
        <v>424428.80000000005</v>
      </c>
    </row>
    <row r="11" spans="1:6" ht="33">
      <c r="A11" s="32" t="s">
        <v>217</v>
      </c>
      <c r="B11" s="32" t="s">
        <v>15</v>
      </c>
      <c r="C11" s="32"/>
      <c r="D11" s="30" t="s">
        <v>128</v>
      </c>
      <c r="E11" s="42">
        <f>E12+E13</f>
        <v>404091.9000000001</v>
      </c>
      <c r="F11" s="42">
        <f>F12+F13</f>
        <v>404091.6000000001</v>
      </c>
    </row>
    <row r="12" spans="1:6" ht="33">
      <c r="A12" s="32" t="s">
        <v>217</v>
      </c>
      <c r="B12" s="32" t="s">
        <v>15</v>
      </c>
      <c r="C12" s="32" t="s">
        <v>16</v>
      </c>
      <c r="D12" s="30" t="s">
        <v>21</v>
      </c>
      <c r="E12" s="42">
        <f>'№11'!D29</f>
        <v>246.29999999999998</v>
      </c>
      <c r="F12" s="42">
        <f>'№11'!E29</f>
        <v>246.3</v>
      </c>
    </row>
    <row r="13" spans="1:6" ht="21.75" customHeight="1">
      <c r="A13" s="32" t="s">
        <v>217</v>
      </c>
      <c r="B13" s="32" t="s">
        <v>15</v>
      </c>
      <c r="C13" s="32" t="s">
        <v>24</v>
      </c>
      <c r="D13" s="30" t="s">
        <v>25</v>
      </c>
      <c r="E13" s="42">
        <f>'№11'!D11-'№11'!D29</f>
        <v>403845.6000000001</v>
      </c>
      <c r="F13" s="42">
        <f>'№11'!E11-'№11'!E29</f>
        <v>403845.3000000001</v>
      </c>
    </row>
    <row r="14" spans="1:6" ht="49.5">
      <c r="A14" s="32" t="s">
        <v>217</v>
      </c>
      <c r="B14" s="12" t="s">
        <v>117</v>
      </c>
      <c r="C14" s="16"/>
      <c r="D14" s="30" t="s">
        <v>152</v>
      </c>
      <c r="E14" s="42">
        <f>E15</f>
        <v>5170.300000000001</v>
      </c>
      <c r="F14" s="42">
        <f>F15</f>
        <v>5170.1</v>
      </c>
    </row>
    <row r="15" spans="1:6" ht="33">
      <c r="A15" s="32" t="s">
        <v>217</v>
      </c>
      <c r="B15" s="12" t="s">
        <v>117</v>
      </c>
      <c r="C15" s="32" t="s">
        <v>16</v>
      </c>
      <c r="D15" s="30" t="s">
        <v>21</v>
      </c>
      <c r="E15" s="42">
        <f>'№11'!D57</f>
        <v>5170.300000000001</v>
      </c>
      <c r="F15" s="42">
        <f>'№11'!E57</f>
        <v>5170.1</v>
      </c>
    </row>
    <row r="16" spans="1:6" ht="66">
      <c r="A16" s="32" t="s">
        <v>217</v>
      </c>
      <c r="B16" s="12" t="s">
        <v>118</v>
      </c>
      <c r="C16" s="32"/>
      <c r="D16" s="30" t="s">
        <v>500</v>
      </c>
      <c r="E16" s="42">
        <f>E17</f>
        <v>811.1</v>
      </c>
      <c r="F16" s="42">
        <f>F17</f>
        <v>551.6</v>
      </c>
    </row>
    <row r="17" spans="1:6" ht="12.75">
      <c r="A17" s="32" t="s">
        <v>217</v>
      </c>
      <c r="B17" s="12" t="s">
        <v>118</v>
      </c>
      <c r="C17" s="32" t="s">
        <v>37</v>
      </c>
      <c r="D17" s="30" t="s">
        <v>125</v>
      </c>
      <c r="E17" s="42">
        <f>'№11'!D74</f>
        <v>811.1</v>
      </c>
      <c r="F17" s="42">
        <f>'№11'!E74</f>
        <v>551.6</v>
      </c>
    </row>
    <row r="18" spans="1:6" ht="12.75">
      <c r="A18" s="32" t="s">
        <v>217</v>
      </c>
      <c r="B18" s="9" t="s">
        <v>122</v>
      </c>
      <c r="C18" s="16"/>
      <c r="D18" s="30" t="s">
        <v>5</v>
      </c>
      <c r="E18" s="42">
        <f>E19</f>
        <v>14615.6</v>
      </c>
      <c r="F18" s="42">
        <f>F19</f>
        <v>14615.5</v>
      </c>
    </row>
    <row r="19" spans="1:6" ht="33">
      <c r="A19" s="12" t="s">
        <v>217</v>
      </c>
      <c r="B19" s="12" t="s">
        <v>122</v>
      </c>
      <c r="C19" s="32" t="s">
        <v>24</v>
      </c>
      <c r="D19" s="30" t="s">
        <v>25</v>
      </c>
      <c r="E19" s="42">
        <f>'№11'!D77</f>
        <v>14615.6</v>
      </c>
      <c r="F19" s="42">
        <f>'№11'!E77</f>
        <v>14615.5</v>
      </c>
    </row>
    <row r="20" spans="1:6" s="56" customFormat="1" ht="34.9" customHeight="1">
      <c r="A20" s="33" t="s">
        <v>218</v>
      </c>
      <c r="B20" s="33"/>
      <c r="C20" s="33"/>
      <c r="D20" s="34" t="s">
        <v>174</v>
      </c>
      <c r="E20" s="52">
        <f>E21</f>
        <v>39907.8</v>
      </c>
      <c r="F20" s="52">
        <f>F21</f>
        <v>39806.2</v>
      </c>
    </row>
    <row r="21" spans="1:6" ht="33">
      <c r="A21" s="12" t="s">
        <v>218</v>
      </c>
      <c r="B21" s="4">
        <v>1</v>
      </c>
      <c r="C21" s="9"/>
      <c r="D21" s="30" t="s">
        <v>175</v>
      </c>
      <c r="E21" s="42">
        <f>E22</f>
        <v>39907.8</v>
      </c>
      <c r="F21" s="42">
        <f>F22</f>
        <v>39806.2</v>
      </c>
    </row>
    <row r="22" spans="1:6" ht="18.6" customHeight="1">
      <c r="A22" s="12" t="s">
        <v>218</v>
      </c>
      <c r="B22" s="4">
        <v>1</v>
      </c>
      <c r="C22" s="32" t="s">
        <v>37</v>
      </c>
      <c r="D22" s="30" t="s">
        <v>125</v>
      </c>
      <c r="E22" s="42">
        <f>'№11'!D85</f>
        <v>39907.8</v>
      </c>
      <c r="F22" s="42">
        <f>'№11'!E85</f>
        <v>39806.2</v>
      </c>
    </row>
    <row r="23" spans="1:6" s="56" customFormat="1" ht="49.5">
      <c r="A23" s="33" t="s">
        <v>219</v>
      </c>
      <c r="B23" s="33"/>
      <c r="C23" s="33"/>
      <c r="D23" s="34" t="s">
        <v>159</v>
      </c>
      <c r="E23" s="52">
        <f>E24+E26</f>
        <v>26191.4</v>
      </c>
      <c r="F23" s="52">
        <f>F24+F26</f>
        <v>26189.4</v>
      </c>
    </row>
    <row r="24" spans="1:6" ht="33">
      <c r="A24" s="12" t="s">
        <v>219</v>
      </c>
      <c r="B24" s="4">
        <v>1</v>
      </c>
      <c r="C24" s="40"/>
      <c r="D24" s="30" t="s">
        <v>160</v>
      </c>
      <c r="E24" s="42">
        <f>E25</f>
        <v>23871.7</v>
      </c>
      <c r="F24" s="42">
        <f>F25</f>
        <v>23871.7</v>
      </c>
    </row>
    <row r="25" spans="1:6" ht="33">
      <c r="A25" s="12" t="s">
        <v>219</v>
      </c>
      <c r="B25" s="4">
        <v>1</v>
      </c>
      <c r="C25" s="40" t="s">
        <v>16</v>
      </c>
      <c r="D25" s="30" t="s">
        <v>21</v>
      </c>
      <c r="E25" s="42">
        <f>'№11'!D111</f>
        <v>23871.7</v>
      </c>
      <c r="F25" s="42">
        <f>'№11'!E111</f>
        <v>23871.7</v>
      </c>
    </row>
    <row r="26" spans="1:6" ht="18.6" customHeight="1">
      <c r="A26" s="12" t="s">
        <v>219</v>
      </c>
      <c r="B26" s="4">
        <v>9</v>
      </c>
      <c r="C26" s="40"/>
      <c r="D26" s="30" t="s">
        <v>5</v>
      </c>
      <c r="E26" s="42">
        <f>E27</f>
        <v>2319.7</v>
      </c>
      <c r="F26" s="42">
        <f>F27</f>
        <v>2317.7</v>
      </c>
    </row>
    <row r="27" spans="1:6" ht="33">
      <c r="A27" s="12" t="s">
        <v>219</v>
      </c>
      <c r="B27" s="4">
        <v>9</v>
      </c>
      <c r="C27" s="40" t="s">
        <v>16</v>
      </c>
      <c r="D27" s="30" t="s">
        <v>21</v>
      </c>
      <c r="E27" s="42">
        <f>'№11'!D122</f>
        <v>2319.7</v>
      </c>
      <c r="F27" s="42">
        <f>'№11'!E122</f>
        <v>2317.7</v>
      </c>
    </row>
    <row r="28" spans="1:6" s="56" customFormat="1" ht="57.6" customHeight="1">
      <c r="A28" s="33" t="s">
        <v>220</v>
      </c>
      <c r="B28" s="33"/>
      <c r="C28" s="33"/>
      <c r="D28" s="34" t="s">
        <v>173</v>
      </c>
      <c r="E28" s="52">
        <f>E29+E31</f>
        <v>10356.099999999999</v>
      </c>
      <c r="F28" s="52">
        <f>F29+F31</f>
        <v>10262</v>
      </c>
    </row>
    <row r="29" spans="1:6" ht="20.45" customHeight="1">
      <c r="A29" s="12" t="s">
        <v>220</v>
      </c>
      <c r="B29" s="4" t="s">
        <v>117</v>
      </c>
      <c r="C29" s="40"/>
      <c r="D29" s="30" t="s">
        <v>201</v>
      </c>
      <c r="E29" s="42">
        <f>E30</f>
        <v>3491.2</v>
      </c>
      <c r="F29" s="42">
        <f>F30</f>
        <v>3491.2</v>
      </c>
    </row>
    <row r="30" spans="1:6" ht="33">
      <c r="A30" s="32" t="s">
        <v>220</v>
      </c>
      <c r="B30" s="9" t="s">
        <v>117</v>
      </c>
      <c r="C30" s="40" t="s">
        <v>16</v>
      </c>
      <c r="D30" s="30" t="s">
        <v>21</v>
      </c>
      <c r="E30" s="42">
        <f>'№11'!D126</f>
        <v>3491.2</v>
      </c>
      <c r="F30" s="42">
        <f>'№11'!E126</f>
        <v>3491.2</v>
      </c>
    </row>
    <row r="31" spans="1:6" ht="49.5">
      <c r="A31" s="32" t="s">
        <v>220</v>
      </c>
      <c r="B31" s="9" t="s">
        <v>118</v>
      </c>
      <c r="C31" s="40"/>
      <c r="D31" s="41" t="s">
        <v>239</v>
      </c>
      <c r="E31" s="42">
        <f>E32</f>
        <v>6864.9</v>
      </c>
      <c r="F31" s="42">
        <f>F32</f>
        <v>6770.8</v>
      </c>
    </row>
    <row r="32" spans="1:6" ht="33">
      <c r="A32" s="32" t="s">
        <v>220</v>
      </c>
      <c r="B32" s="9" t="s">
        <v>118</v>
      </c>
      <c r="C32" s="40" t="s">
        <v>69</v>
      </c>
      <c r="D32" s="30" t="s">
        <v>8</v>
      </c>
      <c r="E32" s="42">
        <f>'№11'!D135</f>
        <v>6864.9</v>
      </c>
      <c r="F32" s="42">
        <f>'№11'!E135</f>
        <v>6770.8</v>
      </c>
    </row>
    <row r="33" spans="1:6" s="56" customFormat="1" ht="49.5">
      <c r="A33" s="33" t="s">
        <v>167</v>
      </c>
      <c r="B33" s="33"/>
      <c r="C33" s="33"/>
      <c r="D33" s="34" t="s">
        <v>203</v>
      </c>
      <c r="E33" s="52">
        <f>E38+E36+E34</f>
        <v>24813.600000000002</v>
      </c>
      <c r="F33" s="52">
        <f>F38+F36+F34</f>
        <v>18394.4</v>
      </c>
    </row>
    <row r="34" spans="1:6" s="56" customFormat="1" ht="33">
      <c r="A34" s="32" t="s">
        <v>167</v>
      </c>
      <c r="B34" s="9" t="s">
        <v>117</v>
      </c>
      <c r="C34" s="9"/>
      <c r="D34" s="41" t="s">
        <v>535</v>
      </c>
      <c r="E34" s="52">
        <f>E35</f>
        <v>1150</v>
      </c>
      <c r="F34" s="52">
        <f>F35</f>
        <v>1150</v>
      </c>
    </row>
    <row r="35" spans="1:6" s="56" customFormat="1" ht="12.75">
      <c r="A35" s="32" t="s">
        <v>167</v>
      </c>
      <c r="B35" s="9" t="s">
        <v>117</v>
      </c>
      <c r="C35" s="9" t="s">
        <v>37</v>
      </c>
      <c r="D35" s="41" t="s">
        <v>125</v>
      </c>
      <c r="E35" s="42">
        <f>'№11'!D139</f>
        <v>1150</v>
      </c>
      <c r="F35" s="42">
        <f>'№11'!E139</f>
        <v>1150</v>
      </c>
    </row>
    <row r="36" spans="1:6" ht="33">
      <c r="A36" s="32" t="s">
        <v>167</v>
      </c>
      <c r="B36" s="9" t="s">
        <v>118</v>
      </c>
      <c r="C36" s="9"/>
      <c r="D36" s="41" t="s">
        <v>236</v>
      </c>
      <c r="E36" s="42">
        <f>E37</f>
        <v>5719.900000000001</v>
      </c>
      <c r="F36" s="42">
        <f>F37</f>
        <v>0</v>
      </c>
    </row>
    <row r="37" spans="1:6" ht="12.75">
      <c r="A37" s="32" t="s">
        <v>167</v>
      </c>
      <c r="B37" s="9" t="s">
        <v>118</v>
      </c>
      <c r="C37" s="9" t="s">
        <v>37</v>
      </c>
      <c r="D37" s="41" t="s">
        <v>125</v>
      </c>
      <c r="E37" s="42">
        <f>'№11'!D140</f>
        <v>5719.900000000001</v>
      </c>
      <c r="F37" s="42">
        <f>'№11'!E140</f>
        <v>0</v>
      </c>
    </row>
    <row r="38" spans="1:6" ht="33">
      <c r="A38" s="32" t="s">
        <v>167</v>
      </c>
      <c r="B38" s="9" t="s">
        <v>119</v>
      </c>
      <c r="C38" s="40"/>
      <c r="D38" s="41" t="s">
        <v>204</v>
      </c>
      <c r="E38" s="42">
        <f>E39</f>
        <v>17943.7</v>
      </c>
      <c r="F38" s="42">
        <f>F39</f>
        <v>17244.4</v>
      </c>
    </row>
    <row r="39" spans="1:6" ht="19.9" customHeight="1">
      <c r="A39" s="32" t="s">
        <v>167</v>
      </c>
      <c r="B39" s="9" t="s">
        <v>119</v>
      </c>
      <c r="C39" s="9" t="s">
        <v>37</v>
      </c>
      <c r="D39" s="41" t="s">
        <v>125</v>
      </c>
      <c r="E39" s="42">
        <f>'№11'!D143</f>
        <v>17943.7</v>
      </c>
      <c r="F39" s="42">
        <f>'№11'!E143</f>
        <v>17244.4</v>
      </c>
    </row>
    <row r="40" spans="1:6" s="56" customFormat="1" ht="49.5">
      <c r="A40" s="33" t="s">
        <v>221</v>
      </c>
      <c r="B40" s="33"/>
      <c r="C40" s="33"/>
      <c r="D40" s="34" t="s">
        <v>192</v>
      </c>
      <c r="E40" s="52">
        <f>E41+E43</f>
        <v>49154.6</v>
      </c>
      <c r="F40" s="52">
        <f>F41+F43</f>
        <v>48962.1</v>
      </c>
    </row>
    <row r="41" spans="1:6" ht="39" customHeight="1">
      <c r="A41" s="32" t="s">
        <v>221</v>
      </c>
      <c r="B41" s="9" t="s">
        <v>15</v>
      </c>
      <c r="C41" s="40"/>
      <c r="D41" s="41" t="s">
        <v>193</v>
      </c>
      <c r="E41" s="42">
        <f>E42</f>
        <v>46795</v>
      </c>
      <c r="F41" s="42">
        <f>F42</f>
        <v>46602.5</v>
      </c>
    </row>
    <row r="42" spans="1:6" ht="20.45" customHeight="1">
      <c r="A42" s="32" t="s">
        <v>221</v>
      </c>
      <c r="B42" s="9" t="s">
        <v>15</v>
      </c>
      <c r="C42" s="9" t="s">
        <v>37</v>
      </c>
      <c r="D42" s="41" t="s">
        <v>125</v>
      </c>
      <c r="E42" s="42">
        <f>'№11'!D163</f>
        <v>46795</v>
      </c>
      <c r="F42" s="42">
        <f>'№11'!E163</f>
        <v>46602.5</v>
      </c>
    </row>
    <row r="43" spans="1:6" ht="20.45" customHeight="1">
      <c r="A43" s="32" t="s">
        <v>221</v>
      </c>
      <c r="B43" s="9" t="s">
        <v>117</v>
      </c>
      <c r="C43" s="40"/>
      <c r="D43" s="10" t="s">
        <v>241</v>
      </c>
      <c r="E43" s="42">
        <f>E44</f>
        <v>2359.6</v>
      </c>
      <c r="F43" s="42">
        <f>F44</f>
        <v>2359.6</v>
      </c>
    </row>
    <row r="44" spans="1:6" ht="20.45" customHeight="1">
      <c r="A44" s="32" t="s">
        <v>221</v>
      </c>
      <c r="B44" s="9" t="s">
        <v>117</v>
      </c>
      <c r="C44" s="9" t="s">
        <v>37</v>
      </c>
      <c r="D44" s="41" t="s">
        <v>125</v>
      </c>
      <c r="E44" s="42">
        <f>'№11'!D176</f>
        <v>2359.6</v>
      </c>
      <c r="F44" s="42">
        <f>'№11'!E176</f>
        <v>2359.6</v>
      </c>
    </row>
    <row r="45" spans="1:6" s="56" customFormat="1" ht="49.5">
      <c r="A45" s="33" t="s">
        <v>222</v>
      </c>
      <c r="B45" s="33"/>
      <c r="C45" s="33"/>
      <c r="D45" s="34" t="s">
        <v>195</v>
      </c>
      <c r="E45" s="52">
        <f>E46+E48</f>
        <v>231.9</v>
      </c>
      <c r="F45" s="52">
        <f>F46+F48</f>
        <v>198.4</v>
      </c>
    </row>
    <row r="46" spans="1:6" ht="33">
      <c r="A46" s="32" t="s">
        <v>222</v>
      </c>
      <c r="B46" s="9" t="s">
        <v>15</v>
      </c>
      <c r="C46" s="40"/>
      <c r="D46" s="41" t="s">
        <v>196</v>
      </c>
      <c r="E46" s="42">
        <f>E47</f>
        <v>64</v>
      </c>
      <c r="F46" s="42">
        <f>F47</f>
        <v>64</v>
      </c>
    </row>
    <row r="47" spans="1:6" ht="18.6" customHeight="1">
      <c r="A47" s="32" t="s">
        <v>222</v>
      </c>
      <c r="B47" s="9" t="s">
        <v>15</v>
      </c>
      <c r="C47" s="40" t="s">
        <v>37</v>
      </c>
      <c r="D47" s="41" t="s">
        <v>125</v>
      </c>
      <c r="E47" s="42">
        <f>'№11'!D184</f>
        <v>64</v>
      </c>
      <c r="F47" s="42">
        <f>'№11'!E184</f>
        <v>64</v>
      </c>
    </row>
    <row r="48" spans="1:6" ht="12.75">
      <c r="A48" s="32" t="s">
        <v>222</v>
      </c>
      <c r="B48" s="9" t="s">
        <v>117</v>
      </c>
      <c r="C48" s="40"/>
      <c r="D48" s="41" t="s">
        <v>198</v>
      </c>
      <c r="E48" s="42">
        <f>E49</f>
        <v>167.9</v>
      </c>
      <c r="F48" s="42">
        <f>F49</f>
        <v>134.4</v>
      </c>
    </row>
    <row r="49" spans="1:6" ht="19.15" customHeight="1">
      <c r="A49" s="32" t="s">
        <v>222</v>
      </c>
      <c r="B49" s="9" t="s">
        <v>117</v>
      </c>
      <c r="C49" s="40" t="s">
        <v>37</v>
      </c>
      <c r="D49" s="41" t="s">
        <v>125</v>
      </c>
      <c r="E49" s="42">
        <f>'№11'!D191</f>
        <v>167.9</v>
      </c>
      <c r="F49" s="42">
        <f>'№11'!E191</f>
        <v>134.4</v>
      </c>
    </row>
    <row r="50" spans="1:6" s="56" customFormat="1" ht="49.5">
      <c r="A50" s="33" t="s">
        <v>151</v>
      </c>
      <c r="B50" s="33"/>
      <c r="C50" s="33"/>
      <c r="D50" s="34" t="s">
        <v>229</v>
      </c>
      <c r="E50" s="52">
        <f>E51+E53+E55+E57+E59+E61</f>
        <v>53746.9</v>
      </c>
      <c r="F50" s="52">
        <f>F51+F53+F55+F57+F59+F61</f>
        <v>52674.399999999994</v>
      </c>
    </row>
    <row r="51" spans="1:6" ht="49.5">
      <c r="A51" s="32" t="s">
        <v>151</v>
      </c>
      <c r="B51" s="9" t="s">
        <v>15</v>
      </c>
      <c r="C51" s="40"/>
      <c r="D51" s="41" t="s">
        <v>13</v>
      </c>
      <c r="E51" s="42">
        <f>E52</f>
        <v>2841.5</v>
      </c>
      <c r="F51" s="42">
        <f>F52</f>
        <v>2019.2</v>
      </c>
    </row>
    <row r="52" spans="1:6" ht="18.6" customHeight="1">
      <c r="A52" s="32" t="s">
        <v>151</v>
      </c>
      <c r="B52" s="9" t="s">
        <v>15</v>
      </c>
      <c r="C52" s="40" t="s">
        <v>37</v>
      </c>
      <c r="D52" s="41" t="s">
        <v>125</v>
      </c>
      <c r="E52" s="42">
        <f>'№11'!D197</f>
        <v>2841.5</v>
      </c>
      <c r="F52" s="42">
        <f>'№11'!E197</f>
        <v>2019.2</v>
      </c>
    </row>
    <row r="53" spans="1:6" ht="87.6" customHeight="1">
      <c r="A53" s="32" t="s">
        <v>151</v>
      </c>
      <c r="B53" s="9">
        <v>2</v>
      </c>
      <c r="C53" s="40"/>
      <c r="D53" s="41" t="s">
        <v>187</v>
      </c>
      <c r="E53" s="42">
        <f>E54</f>
        <v>75</v>
      </c>
      <c r="F53" s="42">
        <f>F54</f>
        <v>75</v>
      </c>
    </row>
    <row r="54" spans="1:6" ht="20.45" customHeight="1">
      <c r="A54" s="32" t="s">
        <v>151</v>
      </c>
      <c r="B54" s="9">
        <v>2</v>
      </c>
      <c r="C54" s="40" t="s">
        <v>37</v>
      </c>
      <c r="D54" s="41" t="s">
        <v>125</v>
      </c>
      <c r="E54" s="42">
        <f>'№11'!D206</f>
        <v>75</v>
      </c>
      <c r="F54" s="42">
        <f>'№11'!E206</f>
        <v>75</v>
      </c>
    </row>
    <row r="55" spans="1:6" ht="33">
      <c r="A55" s="32" t="s">
        <v>151</v>
      </c>
      <c r="B55" s="9" t="s">
        <v>119</v>
      </c>
      <c r="C55" s="40"/>
      <c r="D55" s="41" t="s">
        <v>190</v>
      </c>
      <c r="E55" s="42">
        <f>E56</f>
        <v>6406.9</v>
      </c>
      <c r="F55" s="42">
        <f>F56</f>
        <v>6406.9</v>
      </c>
    </row>
    <row r="56" spans="1:6" ht="19.15" customHeight="1">
      <c r="A56" s="32" t="s">
        <v>151</v>
      </c>
      <c r="B56" s="9" t="s">
        <v>119</v>
      </c>
      <c r="C56" s="40" t="s">
        <v>37</v>
      </c>
      <c r="D56" s="41" t="s">
        <v>125</v>
      </c>
      <c r="E56" s="42">
        <f>'№11'!D211</f>
        <v>6406.9</v>
      </c>
      <c r="F56" s="42">
        <f>'№11'!E211</f>
        <v>6406.9</v>
      </c>
    </row>
    <row r="57" spans="1:6" ht="49.5">
      <c r="A57" s="32" t="s">
        <v>151</v>
      </c>
      <c r="B57" s="9" t="s">
        <v>120</v>
      </c>
      <c r="C57" s="40"/>
      <c r="D57" s="41" t="s">
        <v>183</v>
      </c>
      <c r="E57" s="42">
        <f>E58</f>
        <v>2933.7</v>
      </c>
      <c r="F57" s="42">
        <f>F58</f>
        <v>2933.7</v>
      </c>
    </row>
    <row r="58" spans="1:6" ht="21.6" customHeight="1">
      <c r="A58" s="32" t="s">
        <v>151</v>
      </c>
      <c r="B58" s="9" t="s">
        <v>120</v>
      </c>
      <c r="C58" s="40" t="s">
        <v>37</v>
      </c>
      <c r="D58" s="41" t="s">
        <v>125</v>
      </c>
      <c r="E58" s="42">
        <f>'№11'!D214</f>
        <v>2933.7</v>
      </c>
      <c r="F58" s="42">
        <f>'№11'!E214</f>
        <v>2933.7</v>
      </c>
    </row>
    <row r="59" spans="1:6" ht="12.75">
      <c r="A59" s="32" t="s">
        <v>151</v>
      </c>
      <c r="B59" s="9" t="s">
        <v>121</v>
      </c>
      <c r="C59" s="40"/>
      <c r="D59" s="41" t="s">
        <v>181</v>
      </c>
      <c r="E59" s="42">
        <f>E60</f>
        <v>1564.1000000000001</v>
      </c>
      <c r="F59" s="42">
        <f>F60</f>
        <v>1560.3</v>
      </c>
    </row>
    <row r="60" spans="1:6" ht="21" customHeight="1">
      <c r="A60" s="32" t="s">
        <v>151</v>
      </c>
      <c r="B60" s="9" t="s">
        <v>121</v>
      </c>
      <c r="C60" s="40" t="s">
        <v>37</v>
      </c>
      <c r="D60" s="41" t="s">
        <v>125</v>
      </c>
      <c r="E60" s="42">
        <f>'№11'!D227</f>
        <v>1564.1000000000001</v>
      </c>
      <c r="F60" s="42">
        <f>'№11'!E227</f>
        <v>1560.3</v>
      </c>
    </row>
    <row r="61" spans="1:6" ht="12.75">
      <c r="A61" s="32" t="s">
        <v>151</v>
      </c>
      <c r="B61" s="9" t="s">
        <v>122</v>
      </c>
      <c r="C61" s="40"/>
      <c r="D61" s="41" t="s">
        <v>5</v>
      </c>
      <c r="E61" s="42">
        <f>E62</f>
        <v>39925.700000000004</v>
      </c>
      <c r="F61" s="42">
        <f>F62</f>
        <v>39679.299999999996</v>
      </c>
    </row>
    <row r="62" spans="1:6" ht="22.9" customHeight="1">
      <c r="A62" s="32" t="s">
        <v>151</v>
      </c>
      <c r="B62" s="9" t="s">
        <v>122</v>
      </c>
      <c r="C62" s="40" t="s">
        <v>37</v>
      </c>
      <c r="D62" s="41" t="s">
        <v>125</v>
      </c>
      <c r="E62" s="42">
        <f>'№11'!D234</f>
        <v>39925.700000000004</v>
      </c>
      <c r="F62" s="42">
        <f>'№11'!E234</f>
        <v>39679.299999999996</v>
      </c>
    </row>
    <row r="63" spans="1:6" s="56" customFormat="1" ht="49.5">
      <c r="A63" s="33" t="s">
        <v>223</v>
      </c>
      <c r="B63" s="33"/>
      <c r="C63" s="33"/>
      <c r="D63" s="34" t="s">
        <v>168</v>
      </c>
      <c r="E63" s="52">
        <f>E64+E66</f>
        <v>10704</v>
      </c>
      <c r="F63" s="52">
        <f>F64+F66</f>
        <v>10644.1</v>
      </c>
    </row>
    <row r="64" spans="1:6" ht="33">
      <c r="A64" s="32" t="s">
        <v>223</v>
      </c>
      <c r="B64" s="9" t="s">
        <v>15</v>
      </c>
      <c r="C64" s="40"/>
      <c r="D64" s="41" t="s">
        <v>169</v>
      </c>
      <c r="E64" s="42">
        <f>E65</f>
        <v>5043.7</v>
      </c>
      <c r="F64" s="42">
        <f>F65</f>
        <v>4992.9</v>
      </c>
    </row>
    <row r="65" spans="1:6" ht="33">
      <c r="A65" s="32" t="s">
        <v>223</v>
      </c>
      <c r="B65" s="9" t="s">
        <v>15</v>
      </c>
      <c r="C65" s="40" t="s">
        <v>69</v>
      </c>
      <c r="D65" s="41" t="s">
        <v>8</v>
      </c>
      <c r="E65" s="42">
        <f>'№11'!D250</f>
        <v>5043.7</v>
      </c>
      <c r="F65" s="42">
        <f>'№11'!E250</f>
        <v>4992.9</v>
      </c>
    </row>
    <row r="66" spans="1:6" ht="19.9" customHeight="1">
      <c r="A66" s="32" t="s">
        <v>223</v>
      </c>
      <c r="B66" s="9" t="s">
        <v>122</v>
      </c>
      <c r="C66" s="40"/>
      <c r="D66" s="41" t="s">
        <v>5</v>
      </c>
      <c r="E66" s="42">
        <f>E67</f>
        <v>5660.3</v>
      </c>
      <c r="F66" s="42">
        <f>F67</f>
        <v>5651.200000000001</v>
      </c>
    </row>
    <row r="67" spans="1:6" ht="33">
      <c r="A67" s="32" t="s">
        <v>223</v>
      </c>
      <c r="B67" s="9" t="s">
        <v>122</v>
      </c>
      <c r="C67" s="40" t="s">
        <v>69</v>
      </c>
      <c r="D67" s="41" t="s">
        <v>8</v>
      </c>
      <c r="E67" s="42">
        <f>'№11'!D263</f>
        <v>5660.3</v>
      </c>
      <c r="F67" s="42">
        <f>'№11'!E263</f>
        <v>5651.200000000001</v>
      </c>
    </row>
    <row r="68" spans="1:6" s="56" customFormat="1" ht="49.5">
      <c r="A68" s="33">
        <v>10</v>
      </c>
      <c r="B68" s="33"/>
      <c r="C68" s="33"/>
      <c r="D68" s="34" t="s">
        <v>14</v>
      </c>
      <c r="E68" s="52">
        <f>E69+E75+E73+E71</f>
        <v>12011.2</v>
      </c>
      <c r="F68" s="52">
        <f>F69+F75+F73+F71</f>
        <v>11978.800000000001</v>
      </c>
    </row>
    <row r="69" spans="1:6" ht="33">
      <c r="A69" s="32">
        <v>10</v>
      </c>
      <c r="B69" s="9" t="s">
        <v>15</v>
      </c>
      <c r="C69" s="40"/>
      <c r="D69" s="41" t="s">
        <v>224</v>
      </c>
      <c r="E69" s="42">
        <f>E70</f>
        <v>959.0999999999999</v>
      </c>
      <c r="F69" s="42">
        <f>F70</f>
        <v>959.1</v>
      </c>
    </row>
    <row r="70" spans="1:6" ht="33">
      <c r="A70" s="32" t="s">
        <v>123</v>
      </c>
      <c r="B70" s="9" t="s">
        <v>15</v>
      </c>
      <c r="C70" s="40" t="s">
        <v>71</v>
      </c>
      <c r="D70" s="41" t="s">
        <v>102</v>
      </c>
      <c r="E70" s="42">
        <f>'№11'!D267</f>
        <v>959.0999999999999</v>
      </c>
      <c r="F70" s="42">
        <f>'№11'!E267</f>
        <v>959.1</v>
      </c>
    </row>
    <row r="71" spans="1:6" ht="33">
      <c r="A71" s="32">
        <v>10</v>
      </c>
      <c r="B71" s="9" t="s">
        <v>117</v>
      </c>
      <c r="C71" s="40"/>
      <c r="D71" s="35" t="s">
        <v>516</v>
      </c>
      <c r="E71" s="42">
        <f>E72</f>
        <v>238.40000000000003</v>
      </c>
      <c r="F71" s="42">
        <f>F72</f>
        <v>237.2</v>
      </c>
    </row>
    <row r="72" spans="1:6" ht="33">
      <c r="A72" s="32">
        <v>10</v>
      </c>
      <c r="B72" s="9" t="s">
        <v>117</v>
      </c>
      <c r="C72" s="40" t="s">
        <v>71</v>
      </c>
      <c r="D72" s="35" t="s">
        <v>102</v>
      </c>
      <c r="E72" s="42">
        <f>'№11'!D270</f>
        <v>238.40000000000003</v>
      </c>
      <c r="F72" s="42">
        <f>'№11'!E270</f>
        <v>237.2</v>
      </c>
    </row>
    <row r="73" spans="1:6" ht="19.15" customHeight="1">
      <c r="A73" s="32">
        <v>10</v>
      </c>
      <c r="B73" s="32" t="s">
        <v>118</v>
      </c>
      <c r="C73" s="32"/>
      <c r="D73" s="30" t="s">
        <v>148</v>
      </c>
      <c r="E73" s="42">
        <f>E74</f>
        <v>32.5</v>
      </c>
      <c r="F73" s="42">
        <f>F74</f>
        <v>6.1</v>
      </c>
    </row>
    <row r="74" spans="1:6" ht="33">
      <c r="A74" s="32">
        <v>10</v>
      </c>
      <c r="B74" s="9" t="s">
        <v>118</v>
      </c>
      <c r="C74" s="40" t="s">
        <v>71</v>
      </c>
      <c r="D74" s="41" t="s">
        <v>102</v>
      </c>
      <c r="E74" s="42">
        <f>'№11'!D273</f>
        <v>32.5</v>
      </c>
      <c r="F74" s="42">
        <f>'№11'!E273</f>
        <v>6.1</v>
      </c>
    </row>
    <row r="75" spans="1:6" ht="21" customHeight="1">
      <c r="A75" s="61">
        <v>10</v>
      </c>
      <c r="B75" s="9" t="s">
        <v>122</v>
      </c>
      <c r="C75" s="40"/>
      <c r="D75" s="41" t="s">
        <v>5</v>
      </c>
      <c r="E75" s="42">
        <f>E76</f>
        <v>10781.2</v>
      </c>
      <c r="F75" s="42">
        <f>F76</f>
        <v>10776.4</v>
      </c>
    </row>
    <row r="76" spans="1:6" ht="33">
      <c r="A76" s="32">
        <v>10</v>
      </c>
      <c r="B76" s="9" t="s">
        <v>122</v>
      </c>
      <c r="C76" s="40" t="s">
        <v>71</v>
      </c>
      <c r="D76" s="41" t="s">
        <v>102</v>
      </c>
      <c r="E76" s="42">
        <f>'№11'!D276</f>
        <v>10781.2</v>
      </c>
      <c r="F76" s="42">
        <f>'№11'!E276</f>
        <v>10776.4</v>
      </c>
    </row>
    <row r="77" spans="1:6" s="56" customFormat="1" ht="33">
      <c r="A77" s="33">
        <v>99</v>
      </c>
      <c r="B77" s="33"/>
      <c r="C77" s="33"/>
      <c r="D77" s="34" t="s">
        <v>225</v>
      </c>
      <c r="E77" s="52">
        <f>E78+E86+E80+E84</f>
        <v>5937.499999999999</v>
      </c>
      <c r="F77" s="52">
        <f>F78+F86+F80+F84</f>
        <v>4914.9</v>
      </c>
    </row>
    <row r="78" spans="1:6" ht="12.75">
      <c r="A78" s="32">
        <v>99</v>
      </c>
      <c r="B78" s="9" t="s">
        <v>117</v>
      </c>
      <c r="C78" s="40"/>
      <c r="D78" s="41" t="s">
        <v>23</v>
      </c>
      <c r="E78" s="42">
        <f>E79</f>
        <v>1000</v>
      </c>
      <c r="F78" s="42">
        <f>F79</f>
        <v>0</v>
      </c>
    </row>
    <row r="79" spans="1:6" ht="33">
      <c r="A79" s="32">
        <v>99</v>
      </c>
      <c r="B79" s="9" t="s">
        <v>117</v>
      </c>
      <c r="C79" s="40" t="s">
        <v>71</v>
      </c>
      <c r="D79" s="41" t="s">
        <v>102</v>
      </c>
      <c r="E79" s="42">
        <f>'№11'!D280</f>
        <v>1000</v>
      </c>
      <c r="F79" s="42">
        <f>'№11'!E280</f>
        <v>0</v>
      </c>
    </row>
    <row r="80" spans="1:6" ht="33">
      <c r="A80" s="32">
        <v>99</v>
      </c>
      <c r="B80" s="9" t="s">
        <v>119</v>
      </c>
      <c r="C80" s="40"/>
      <c r="D80" s="41" t="s">
        <v>477</v>
      </c>
      <c r="E80" s="42">
        <f>E81+E82+E83</f>
        <v>833.7</v>
      </c>
      <c r="F80" s="42">
        <f>F81+F82+F83</f>
        <v>833.7</v>
      </c>
    </row>
    <row r="81" spans="1:6" ht="12.75">
      <c r="A81" s="32">
        <v>99</v>
      </c>
      <c r="B81" s="9" t="s">
        <v>119</v>
      </c>
      <c r="C81" s="40" t="s">
        <v>37</v>
      </c>
      <c r="D81" s="41" t="s">
        <v>125</v>
      </c>
      <c r="E81" s="42">
        <f>'№11'!D285</f>
        <v>117.80000000000001</v>
      </c>
      <c r="F81" s="42">
        <f>'№11'!E285</f>
        <v>117.8</v>
      </c>
    </row>
    <row r="82" spans="1:6" ht="33">
      <c r="A82" s="32">
        <v>99</v>
      </c>
      <c r="B82" s="9" t="s">
        <v>119</v>
      </c>
      <c r="C82" s="40" t="s">
        <v>69</v>
      </c>
      <c r="D82" s="41" t="s">
        <v>8</v>
      </c>
      <c r="E82" s="42">
        <f>'№11'!D286</f>
        <v>483.7</v>
      </c>
      <c r="F82" s="42">
        <f>'№11'!E286</f>
        <v>483.7</v>
      </c>
    </row>
    <row r="83" spans="1:6" ht="33">
      <c r="A83" s="32">
        <v>99</v>
      </c>
      <c r="B83" s="9" t="s">
        <v>119</v>
      </c>
      <c r="C83" s="9" t="s">
        <v>16</v>
      </c>
      <c r="D83" s="41" t="s">
        <v>21</v>
      </c>
      <c r="E83" s="42">
        <f>'№11'!D287</f>
        <v>232.2</v>
      </c>
      <c r="F83" s="42">
        <f>'№11'!E287</f>
        <v>232.2</v>
      </c>
    </row>
    <row r="84" spans="1:6" ht="33">
      <c r="A84" s="32">
        <v>99</v>
      </c>
      <c r="B84" s="9" t="s">
        <v>120</v>
      </c>
      <c r="C84" s="40"/>
      <c r="D84" s="41" t="s">
        <v>504</v>
      </c>
      <c r="E84" s="42">
        <f>E85</f>
        <v>100</v>
      </c>
      <c r="F84" s="42">
        <f>F85</f>
        <v>100</v>
      </c>
    </row>
    <row r="85" spans="1:6" ht="33">
      <c r="A85" s="32">
        <v>99</v>
      </c>
      <c r="B85" s="9" t="s">
        <v>120</v>
      </c>
      <c r="C85" s="9" t="s">
        <v>24</v>
      </c>
      <c r="D85" s="41" t="s">
        <v>25</v>
      </c>
      <c r="E85" s="42">
        <f>'№11'!D289</f>
        <v>100</v>
      </c>
      <c r="F85" s="42">
        <f>'№11'!E289</f>
        <v>100</v>
      </c>
    </row>
    <row r="86" spans="1:6" ht="39" customHeight="1">
      <c r="A86" s="32">
        <v>99</v>
      </c>
      <c r="B86" s="9" t="s">
        <v>122</v>
      </c>
      <c r="C86" s="40"/>
      <c r="D86" s="41" t="s">
        <v>10</v>
      </c>
      <c r="E86" s="42">
        <f>E87</f>
        <v>4003.7999999999997</v>
      </c>
      <c r="F86" s="42">
        <f>F87</f>
        <v>3981.2</v>
      </c>
    </row>
    <row r="87" spans="1:6" ht="20.45" customHeight="1">
      <c r="A87" s="32" t="s">
        <v>226</v>
      </c>
      <c r="B87" s="9" t="s">
        <v>122</v>
      </c>
      <c r="C87" s="40" t="s">
        <v>31</v>
      </c>
      <c r="D87" s="41" t="s">
        <v>7</v>
      </c>
      <c r="E87" s="42">
        <f>'№11'!D291</f>
        <v>4003.7999999999997</v>
      </c>
      <c r="F87" s="42">
        <f>'№11'!E291</f>
        <v>3981.2</v>
      </c>
    </row>
  </sheetData>
  <mergeCells count="4">
    <mergeCell ref="D1:F1"/>
    <mergeCell ref="A2:F2"/>
    <mergeCell ref="A3:F3"/>
    <mergeCell ref="A5:F5"/>
  </mergeCells>
  <printOptions/>
  <pageMargins left="0.5905511811023623" right="0.1968503937007874" top="0.15748031496062992" bottom="0.15748031496062992" header="0.31496062992125984" footer="0.31496062992125984"/>
  <pageSetup fitToHeight="0" fitToWidth="1" horizontalDpi="600" verticalDpi="6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E295"/>
  <sheetViews>
    <sheetView workbookViewId="0" topLeftCell="A1">
      <selection activeCell="C10" sqref="C10"/>
    </sheetView>
  </sheetViews>
  <sheetFormatPr defaultColWidth="9.125" defaultRowHeight="12.75"/>
  <cols>
    <col min="1" max="1" width="14.75390625" style="83" customWidth="1"/>
    <col min="2" max="2" width="7.00390625" style="92" customWidth="1"/>
    <col min="3" max="3" width="82.75390625" style="43" customWidth="1"/>
    <col min="4" max="4" width="14.25390625" style="59" customWidth="1"/>
    <col min="5" max="5" width="13.25390625" style="43" customWidth="1"/>
    <col min="6" max="16384" width="9.125" style="43" customWidth="1"/>
  </cols>
  <sheetData>
    <row r="1" spans="1:5" ht="16.5" customHeight="1">
      <c r="A1" s="73"/>
      <c r="C1" s="268" t="s">
        <v>585</v>
      </c>
      <c r="D1" s="268"/>
      <c r="E1" s="268"/>
    </row>
    <row r="2" spans="1:5" ht="16.5" customHeight="1">
      <c r="A2" s="73"/>
      <c r="B2" s="86"/>
      <c r="C2" s="268" t="s">
        <v>1145</v>
      </c>
      <c r="D2" s="268"/>
      <c r="E2" s="268"/>
    </row>
    <row r="3" spans="1:5" ht="16.5" customHeight="1">
      <c r="A3" s="74"/>
      <c r="B3" s="87"/>
      <c r="C3" s="269" t="s">
        <v>1150</v>
      </c>
      <c r="D3" s="269"/>
      <c r="E3" s="269"/>
    </row>
    <row r="4" spans="1:4" ht="12.75">
      <c r="A4" s="75"/>
      <c r="B4" s="58"/>
      <c r="C4" s="76"/>
      <c r="D4" s="77"/>
    </row>
    <row r="5" spans="1:5" s="57" customFormat="1" ht="53.25" customHeight="1">
      <c r="A5" s="264" t="s">
        <v>586</v>
      </c>
      <c r="B5" s="264"/>
      <c r="C5" s="264"/>
      <c r="D5" s="264"/>
      <c r="E5" s="264"/>
    </row>
    <row r="6" spans="1:5" ht="12.75">
      <c r="A6" s="78"/>
      <c r="B6" s="79"/>
      <c r="C6" s="80"/>
      <c r="D6" s="81"/>
      <c r="E6" s="111" t="s">
        <v>641</v>
      </c>
    </row>
    <row r="7" spans="1:5" ht="49.5">
      <c r="A7" s="228" t="s">
        <v>34</v>
      </c>
      <c r="B7" s="229" t="s">
        <v>33</v>
      </c>
      <c r="C7" s="41" t="s">
        <v>36</v>
      </c>
      <c r="D7" s="233" t="s">
        <v>575</v>
      </c>
      <c r="E7" s="16" t="s">
        <v>576</v>
      </c>
    </row>
    <row r="8" spans="1:5" ht="12.75">
      <c r="A8" s="61">
        <v>1</v>
      </c>
      <c r="B8" s="16">
        <v>2</v>
      </c>
      <c r="C8" s="61">
        <v>3</v>
      </c>
      <c r="D8" s="53">
        <v>4</v>
      </c>
      <c r="E8" s="61">
        <v>5</v>
      </c>
    </row>
    <row r="9" spans="1:5" s="56" customFormat="1" ht="12.75">
      <c r="A9" s="82"/>
      <c r="B9" s="65"/>
      <c r="C9" s="63" t="s">
        <v>4</v>
      </c>
      <c r="D9" s="52">
        <f>D10+D84+D110+D125+D136+D162+D183+D196+D249+D266+D279</f>
        <v>657743.9</v>
      </c>
      <c r="E9" s="52">
        <f>E10+E84+E110+E125+E136+E162+E183+E196+E249+E266+E279</f>
        <v>648453.5000000002</v>
      </c>
    </row>
    <row r="10" spans="1:5" s="56" customFormat="1" ht="33">
      <c r="A10" s="33" t="s">
        <v>330</v>
      </c>
      <c r="B10" s="33"/>
      <c r="C10" s="34" t="s">
        <v>127</v>
      </c>
      <c r="D10" s="52">
        <f>D11+D57+D77+D74</f>
        <v>424688.9</v>
      </c>
      <c r="E10" s="52">
        <f>E11+E57+E77+E74</f>
        <v>424428.80000000005</v>
      </c>
    </row>
    <row r="11" spans="1:5" s="56" customFormat="1" ht="33">
      <c r="A11" s="33" t="s">
        <v>331</v>
      </c>
      <c r="B11" s="33"/>
      <c r="C11" s="34" t="s">
        <v>128</v>
      </c>
      <c r="D11" s="52">
        <f>D12+D14+D16+D18+D20+D22+D24+D26+D28+D31+D33+D35+D37+D39+D41+D43+D45+D47+D49+D51+D53+D55</f>
        <v>404091.9000000001</v>
      </c>
      <c r="E11" s="52">
        <f>E12+E14+E16+E18+E20+E22+E24+E26+E28+E31+E33+E35+E37+E39+E41+E43+E45+E47+E49+E51+E53+E55</f>
        <v>404091.6000000001</v>
      </c>
    </row>
    <row r="12" spans="1:5" s="56" customFormat="1" ht="49.5">
      <c r="A12" s="9" t="s">
        <v>360</v>
      </c>
      <c r="B12" s="9"/>
      <c r="C12" s="41" t="s">
        <v>146</v>
      </c>
      <c r="D12" s="42">
        <f>D13</f>
        <v>7487.8</v>
      </c>
      <c r="E12" s="42">
        <f>E13</f>
        <v>7487.8</v>
      </c>
    </row>
    <row r="13" spans="1:5" s="56" customFormat="1" ht="12.75">
      <c r="A13" s="9" t="s">
        <v>360</v>
      </c>
      <c r="B13" s="9" t="s">
        <v>24</v>
      </c>
      <c r="C13" s="41" t="s">
        <v>25</v>
      </c>
      <c r="D13" s="42">
        <f>'№8 (ведомст.)'!F499</f>
        <v>7487.8</v>
      </c>
      <c r="E13" s="42">
        <f>'№8 (ведомст.)'!G499</f>
        <v>7487.8</v>
      </c>
    </row>
    <row r="14" spans="1:5" s="56" customFormat="1" ht="49.5">
      <c r="A14" s="9" t="s">
        <v>348</v>
      </c>
      <c r="B14" s="9"/>
      <c r="C14" s="41" t="s">
        <v>130</v>
      </c>
      <c r="D14" s="42">
        <f>D15</f>
        <v>86181.9</v>
      </c>
      <c r="E14" s="42">
        <f>E15</f>
        <v>86181.9</v>
      </c>
    </row>
    <row r="15" spans="1:5" s="56" customFormat="1" ht="12.75">
      <c r="A15" s="9" t="s">
        <v>348</v>
      </c>
      <c r="B15" s="9" t="s">
        <v>24</v>
      </c>
      <c r="C15" s="41" t="s">
        <v>25</v>
      </c>
      <c r="D15" s="42">
        <f>'№8 (ведомст.)'!F420</f>
        <v>86181.9</v>
      </c>
      <c r="E15" s="42">
        <f>'№8 (ведомст.)'!G420</f>
        <v>86181.9</v>
      </c>
    </row>
    <row r="16" spans="1:5" s="56" customFormat="1" ht="33">
      <c r="A16" s="9" t="s">
        <v>344</v>
      </c>
      <c r="B16" s="9"/>
      <c r="C16" s="41" t="s">
        <v>129</v>
      </c>
      <c r="D16" s="42">
        <f>D17</f>
        <v>63035.4</v>
      </c>
      <c r="E16" s="42">
        <f>E17</f>
        <v>63035.4</v>
      </c>
    </row>
    <row r="17" spans="1:5" s="56" customFormat="1" ht="12.75">
      <c r="A17" s="9" t="s">
        <v>344</v>
      </c>
      <c r="B17" s="9" t="s">
        <v>24</v>
      </c>
      <c r="C17" s="41" t="s">
        <v>25</v>
      </c>
      <c r="D17" s="42">
        <f>'№8 (ведомст.)'!F422</f>
        <v>63035.4</v>
      </c>
      <c r="E17" s="42">
        <f>'№8 (ведомст.)'!G422</f>
        <v>63035.4</v>
      </c>
    </row>
    <row r="18" spans="1:5" s="56" customFormat="1" ht="33">
      <c r="A18" s="9" t="s">
        <v>345</v>
      </c>
      <c r="B18" s="9"/>
      <c r="C18" s="41" t="s">
        <v>132</v>
      </c>
      <c r="D18" s="42">
        <f>D19</f>
        <v>7265.300000000001</v>
      </c>
      <c r="E18" s="42">
        <f>E19</f>
        <v>7265.3</v>
      </c>
    </row>
    <row r="19" spans="1:5" s="56" customFormat="1" ht="12.75">
      <c r="A19" s="9" t="s">
        <v>345</v>
      </c>
      <c r="B19" s="9" t="s">
        <v>24</v>
      </c>
      <c r="C19" s="41" t="s">
        <v>25</v>
      </c>
      <c r="D19" s="42">
        <f>'№8 (ведомст.)'!F424</f>
        <v>7265.300000000001</v>
      </c>
      <c r="E19" s="42">
        <f>'№8 (ведомст.)'!G424</f>
        <v>7265.3</v>
      </c>
    </row>
    <row r="20" spans="1:5" s="56" customFormat="1" ht="33">
      <c r="A20" s="9" t="s">
        <v>346</v>
      </c>
      <c r="B20" s="9"/>
      <c r="C20" s="41" t="s">
        <v>133</v>
      </c>
      <c r="D20" s="42">
        <f>D21</f>
        <v>230.10000000000002</v>
      </c>
      <c r="E20" s="42">
        <f>E21</f>
        <v>230.1</v>
      </c>
    </row>
    <row r="21" spans="1:5" s="56" customFormat="1" ht="12.75">
      <c r="A21" s="9" t="s">
        <v>346</v>
      </c>
      <c r="B21" s="9" t="s">
        <v>24</v>
      </c>
      <c r="C21" s="41" t="s">
        <v>25</v>
      </c>
      <c r="D21" s="42">
        <f>'№8 (ведомст.)'!F426</f>
        <v>230.10000000000002</v>
      </c>
      <c r="E21" s="42">
        <f>'№8 (ведомст.)'!G426</f>
        <v>230.1</v>
      </c>
    </row>
    <row r="22" spans="1:5" s="56" customFormat="1" ht="33">
      <c r="A22" s="9" t="s">
        <v>347</v>
      </c>
      <c r="B22" s="9"/>
      <c r="C22" s="41" t="s">
        <v>139</v>
      </c>
      <c r="D22" s="42">
        <f>D23</f>
        <v>1861.1000000000001</v>
      </c>
      <c r="E22" s="42">
        <f>E23</f>
        <v>1861.1</v>
      </c>
    </row>
    <row r="23" spans="1:5" s="56" customFormat="1" ht="12.75">
      <c r="A23" s="9" t="s">
        <v>347</v>
      </c>
      <c r="B23" s="9" t="s">
        <v>24</v>
      </c>
      <c r="C23" s="41" t="s">
        <v>25</v>
      </c>
      <c r="D23" s="42">
        <f>'№8 (ведомст.)'!F428</f>
        <v>1861.1000000000001</v>
      </c>
      <c r="E23" s="42">
        <f>'№8 (ведомст.)'!G428</f>
        <v>1861.1</v>
      </c>
    </row>
    <row r="24" spans="1:5" s="56" customFormat="1" ht="33">
      <c r="A24" s="9" t="s">
        <v>471</v>
      </c>
      <c r="B24" s="9"/>
      <c r="C24" s="10" t="s">
        <v>472</v>
      </c>
      <c r="D24" s="42">
        <f>D25</f>
        <v>1122.8</v>
      </c>
      <c r="E24" s="42">
        <f>E25</f>
        <v>1122.8</v>
      </c>
    </row>
    <row r="25" spans="1:5" s="56" customFormat="1" ht="12.75">
      <c r="A25" s="9" t="s">
        <v>471</v>
      </c>
      <c r="B25" s="9" t="s">
        <v>24</v>
      </c>
      <c r="C25" s="41" t="s">
        <v>25</v>
      </c>
      <c r="D25" s="42">
        <f>'№8 (ведомст.)'!F431+'№8 (ведомст.)'!F437</f>
        <v>1122.8</v>
      </c>
      <c r="E25" s="42">
        <f>'№8 (ведомст.)'!G431+'№8 (ведомст.)'!G437</f>
        <v>1122.8</v>
      </c>
    </row>
    <row r="26" spans="1:5" s="56" customFormat="1" ht="49.5">
      <c r="A26" s="9" t="s">
        <v>493</v>
      </c>
      <c r="B26" s="9"/>
      <c r="C26" s="30" t="s">
        <v>496</v>
      </c>
      <c r="D26" s="42">
        <f>D27</f>
        <v>4227</v>
      </c>
      <c r="E26" s="42">
        <f>E27</f>
        <v>4227</v>
      </c>
    </row>
    <row r="27" spans="1:5" s="56" customFormat="1" ht="12.75">
      <c r="A27" s="9" t="s">
        <v>493</v>
      </c>
      <c r="B27" s="9" t="s">
        <v>24</v>
      </c>
      <c r="C27" s="41" t="s">
        <v>25</v>
      </c>
      <c r="D27" s="42">
        <f>'№8 (ведомст.)'!F440</f>
        <v>4227</v>
      </c>
      <c r="E27" s="42">
        <f>'№8 (ведомст.)'!G440</f>
        <v>4227</v>
      </c>
    </row>
    <row r="28" spans="1:5" s="56" customFormat="1" ht="33">
      <c r="A28" s="12" t="s">
        <v>499</v>
      </c>
      <c r="B28" s="16"/>
      <c r="C28" s="10" t="s">
        <v>497</v>
      </c>
      <c r="D28" s="42">
        <f>D29+D30</f>
        <v>3071.3</v>
      </c>
      <c r="E28" s="42">
        <f>E29+E30</f>
        <v>3071.3</v>
      </c>
    </row>
    <row r="29" spans="1:5" s="56" customFormat="1" ht="33">
      <c r="A29" s="9" t="s">
        <v>499</v>
      </c>
      <c r="B29" s="9" t="s">
        <v>16</v>
      </c>
      <c r="C29" s="41" t="s">
        <v>21</v>
      </c>
      <c r="D29" s="42">
        <f>'№8 (ведомст.)'!F361</f>
        <v>246.29999999999998</v>
      </c>
      <c r="E29" s="42">
        <f>'№8 (ведомст.)'!G361</f>
        <v>246.3</v>
      </c>
    </row>
    <row r="30" spans="1:5" s="56" customFormat="1" ht="12.75">
      <c r="A30" s="9" t="s">
        <v>499</v>
      </c>
      <c r="B30" s="9" t="s">
        <v>24</v>
      </c>
      <c r="C30" s="41" t="s">
        <v>25</v>
      </c>
      <c r="D30" s="42">
        <f>'№8 (ведомст.)'!F477</f>
        <v>2825</v>
      </c>
      <c r="E30" s="42">
        <f>'№8 (ведомст.)'!G477</f>
        <v>2825</v>
      </c>
    </row>
    <row r="31" spans="1:5" s="56" customFormat="1" ht="33">
      <c r="A31" s="12" t="s">
        <v>498</v>
      </c>
      <c r="B31" s="16"/>
      <c r="C31" s="10" t="s">
        <v>502</v>
      </c>
      <c r="D31" s="42">
        <f>D32</f>
        <v>35.80000000000001</v>
      </c>
      <c r="E31" s="42">
        <f>E32</f>
        <v>35.5</v>
      </c>
    </row>
    <row r="32" spans="1:5" s="56" customFormat="1" ht="12.75">
      <c r="A32" s="9" t="s">
        <v>498</v>
      </c>
      <c r="B32" s="9" t="s">
        <v>24</v>
      </c>
      <c r="C32" s="41" t="s">
        <v>25</v>
      </c>
      <c r="D32" s="42">
        <f>'№8 (ведомст.)'!F475</f>
        <v>35.80000000000001</v>
      </c>
      <c r="E32" s="42">
        <f>'№8 (ведомст.)'!G475</f>
        <v>35.5</v>
      </c>
    </row>
    <row r="33" spans="1:5" s="56" customFormat="1" ht="82.5">
      <c r="A33" s="9" t="s">
        <v>355</v>
      </c>
      <c r="B33" s="9"/>
      <c r="C33" s="41" t="s">
        <v>147</v>
      </c>
      <c r="D33" s="42">
        <f>D34</f>
        <v>169112.6</v>
      </c>
      <c r="E33" s="42">
        <f>E34</f>
        <v>169112.6</v>
      </c>
    </row>
    <row r="34" spans="1:5" s="56" customFormat="1" ht="12.75">
      <c r="A34" s="9" t="s">
        <v>355</v>
      </c>
      <c r="B34" s="9" t="s">
        <v>24</v>
      </c>
      <c r="C34" s="41" t="s">
        <v>25</v>
      </c>
      <c r="D34" s="42">
        <f>'№8 (ведомст.)'!F441</f>
        <v>169112.6</v>
      </c>
      <c r="E34" s="42">
        <f>'№8 (ведомст.)'!G441</f>
        <v>169112.6</v>
      </c>
    </row>
    <row r="35" spans="1:5" s="56" customFormat="1" ht="33">
      <c r="A35" s="9" t="s">
        <v>480</v>
      </c>
      <c r="B35" s="9"/>
      <c r="C35" s="41" t="s">
        <v>481</v>
      </c>
      <c r="D35" s="42">
        <f>D36</f>
        <v>5594.4</v>
      </c>
      <c r="E35" s="42">
        <f>E36</f>
        <v>5594.4</v>
      </c>
    </row>
    <row r="36" spans="1:5" s="56" customFormat="1" ht="12.75">
      <c r="A36" s="9" t="s">
        <v>480</v>
      </c>
      <c r="B36" s="9" t="s">
        <v>24</v>
      </c>
      <c r="C36" s="41" t="s">
        <v>25</v>
      </c>
      <c r="D36" s="42">
        <f>'№8 (ведомст.)'!F444</f>
        <v>5594.4</v>
      </c>
      <c r="E36" s="42">
        <f>'№8 (ведомст.)'!G444</f>
        <v>5594.4</v>
      </c>
    </row>
    <row r="37" spans="1:5" ht="12.75">
      <c r="A37" s="12" t="s">
        <v>453</v>
      </c>
      <c r="B37" s="16"/>
      <c r="C37" s="41" t="s">
        <v>238</v>
      </c>
      <c r="D37" s="42">
        <f>D38</f>
        <v>240.60000000000002</v>
      </c>
      <c r="E37" s="42">
        <f>E38</f>
        <v>240.60000000000002</v>
      </c>
    </row>
    <row r="38" spans="1:5" ht="12.75">
      <c r="A38" s="12" t="s">
        <v>453</v>
      </c>
      <c r="B38" s="32" t="s">
        <v>24</v>
      </c>
      <c r="C38" s="30" t="s">
        <v>25</v>
      </c>
      <c r="D38" s="42">
        <f>'№8 (ведомст.)'!F472</f>
        <v>240.60000000000002</v>
      </c>
      <c r="E38" s="42">
        <f>'№8 (ведомст.)'!G472</f>
        <v>240.60000000000002</v>
      </c>
    </row>
    <row r="39" spans="1:5" ht="49.5">
      <c r="A39" s="9" t="s">
        <v>349</v>
      </c>
      <c r="B39" s="9"/>
      <c r="C39" s="41" t="s">
        <v>134</v>
      </c>
      <c r="D39" s="42">
        <f>D40</f>
        <v>32756.200000000004</v>
      </c>
      <c r="E39" s="42">
        <f>E40</f>
        <v>32756.2</v>
      </c>
    </row>
    <row r="40" spans="1:5" ht="12.75">
      <c r="A40" s="9" t="s">
        <v>349</v>
      </c>
      <c r="B40" s="9" t="s">
        <v>24</v>
      </c>
      <c r="C40" s="41" t="s">
        <v>25</v>
      </c>
      <c r="D40" s="42">
        <f>'№8 (ведомст.)'!F445</f>
        <v>32756.200000000004</v>
      </c>
      <c r="E40" s="42">
        <f>'№8 (ведомст.)'!G445</f>
        <v>32756.2</v>
      </c>
    </row>
    <row r="41" spans="1:5" ht="33">
      <c r="A41" s="9" t="s">
        <v>352</v>
      </c>
      <c r="B41" s="9"/>
      <c r="C41" s="41" t="s">
        <v>137</v>
      </c>
      <c r="D41" s="42">
        <f>D42</f>
        <v>3295.8999999999996</v>
      </c>
      <c r="E41" s="42">
        <f>E42</f>
        <v>3295.9</v>
      </c>
    </row>
    <row r="42" spans="1:5" ht="12.75">
      <c r="A42" s="9" t="s">
        <v>352</v>
      </c>
      <c r="B42" s="9" t="s">
        <v>24</v>
      </c>
      <c r="C42" s="41" t="s">
        <v>25</v>
      </c>
      <c r="D42" s="42">
        <f>'№8 (ведомст.)'!F447</f>
        <v>3295.8999999999996</v>
      </c>
      <c r="E42" s="42">
        <f>'№8 (ведомст.)'!G447</f>
        <v>3295.9</v>
      </c>
    </row>
    <row r="43" spans="1:5" ht="33">
      <c r="A43" s="9" t="s">
        <v>353</v>
      </c>
      <c r="B43" s="9"/>
      <c r="C43" s="41" t="s">
        <v>138</v>
      </c>
      <c r="D43" s="42">
        <f>D44</f>
        <v>464.5</v>
      </c>
      <c r="E43" s="42">
        <f>E44</f>
        <v>464.5</v>
      </c>
    </row>
    <row r="44" spans="1:5" ht="12.75">
      <c r="A44" s="9" t="s">
        <v>353</v>
      </c>
      <c r="B44" s="9" t="s">
        <v>24</v>
      </c>
      <c r="C44" s="41" t="s">
        <v>25</v>
      </c>
      <c r="D44" s="42">
        <f>'№8 (ведомст.)'!F449</f>
        <v>464.5</v>
      </c>
      <c r="E44" s="42">
        <f>'№8 (ведомст.)'!G449</f>
        <v>464.5</v>
      </c>
    </row>
    <row r="45" spans="1:5" ht="33">
      <c r="A45" s="9" t="s">
        <v>473</v>
      </c>
      <c r="B45" s="16"/>
      <c r="C45" s="41" t="s">
        <v>140</v>
      </c>
      <c r="D45" s="42">
        <f>D46</f>
        <v>668.9</v>
      </c>
      <c r="E45" s="42">
        <f>E46</f>
        <v>668.9</v>
      </c>
    </row>
    <row r="46" spans="1:5" ht="12.75">
      <c r="A46" s="9" t="s">
        <v>473</v>
      </c>
      <c r="B46" s="9" t="s">
        <v>24</v>
      </c>
      <c r="C46" s="41" t="s">
        <v>25</v>
      </c>
      <c r="D46" s="42">
        <f>'№8 (ведомст.)'!F452</f>
        <v>668.9</v>
      </c>
      <c r="E46" s="42">
        <f>'№8 (ведомст.)'!G452</f>
        <v>668.9</v>
      </c>
    </row>
    <row r="47" spans="1:5" ht="33">
      <c r="A47" s="9" t="s">
        <v>354</v>
      </c>
      <c r="B47" s="9"/>
      <c r="C47" s="41" t="s">
        <v>141</v>
      </c>
      <c r="D47" s="42">
        <f>D48</f>
        <v>4884.900000000001</v>
      </c>
      <c r="E47" s="42">
        <f>E48</f>
        <v>4884.9</v>
      </c>
    </row>
    <row r="48" spans="1:5" ht="12.75">
      <c r="A48" s="9" t="s">
        <v>354</v>
      </c>
      <c r="B48" s="9" t="s">
        <v>24</v>
      </c>
      <c r="C48" s="41" t="s">
        <v>25</v>
      </c>
      <c r="D48" s="42">
        <f>'№8 (ведомст.)'!F453</f>
        <v>4884.900000000001</v>
      </c>
      <c r="E48" s="42">
        <f>'№8 (ведомст.)'!G453</f>
        <v>4884.9</v>
      </c>
    </row>
    <row r="49" spans="1:5" ht="33">
      <c r="A49" s="9" t="s">
        <v>365</v>
      </c>
      <c r="B49" s="9"/>
      <c r="C49" s="41" t="s">
        <v>140</v>
      </c>
      <c r="D49" s="42">
        <f>D50</f>
        <v>1015.2000000000003</v>
      </c>
      <c r="E49" s="42">
        <f>E50</f>
        <v>1015.2</v>
      </c>
    </row>
    <row r="50" spans="1:5" ht="12.75">
      <c r="A50" s="9" t="s">
        <v>365</v>
      </c>
      <c r="B50" s="9" t="s">
        <v>24</v>
      </c>
      <c r="C50" s="41" t="s">
        <v>25</v>
      </c>
      <c r="D50" s="42">
        <f>'№8 (ведомст.)'!F455</f>
        <v>1015.2000000000003</v>
      </c>
      <c r="E50" s="42">
        <f>'№8 (ведомст.)'!G455</f>
        <v>1015.2</v>
      </c>
    </row>
    <row r="51" spans="1:5" ht="33">
      <c r="A51" s="9" t="s">
        <v>350</v>
      </c>
      <c r="B51" s="9"/>
      <c r="C51" s="41" t="s">
        <v>135</v>
      </c>
      <c r="D51" s="42">
        <f>D52</f>
        <v>3638</v>
      </c>
      <c r="E51" s="42">
        <f>E52</f>
        <v>3638</v>
      </c>
    </row>
    <row r="52" spans="1:5" ht="12.75">
      <c r="A52" s="9" t="s">
        <v>350</v>
      </c>
      <c r="B52" s="9" t="s">
        <v>24</v>
      </c>
      <c r="C52" s="41" t="s">
        <v>25</v>
      </c>
      <c r="D52" s="42">
        <f>'№8 (ведомст.)'!F458</f>
        <v>3638</v>
      </c>
      <c r="E52" s="42">
        <f>'№8 (ведомст.)'!G458</f>
        <v>3638</v>
      </c>
    </row>
    <row r="53" spans="1:5" ht="46.15" customHeight="1">
      <c r="A53" s="9" t="s">
        <v>351</v>
      </c>
      <c r="B53" s="9"/>
      <c r="C53" s="41" t="s">
        <v>136</v>
      </c>
      <c r="D53" s="42">
        <f>D54</f>
        <v>7868.5</v>
      </c>
      <c r="E53" s="42">
        <f>E54</f>
        <v>7868.5</v>
      </c>
    </row>
    <row r="54" spans="1:5" ht="12.75">
      <c r="A54" s="9" t="s">
        <v>351</v>
      </c>
      <c r="B54" s="9" t="s">
        <v>24</v>
      </c>
      <c r="C54" s="41" t="s">
        <v>25</v>
      </c>
      <c r="D54" s="42">
        <f>'№8 (ведомст.)'!F460</f>
        <v>7868.5</v>
      </c>
      <c r="E54" s="42">
        <f>'№8 (ведомст.)'!G460</f>
        <v>7868.5</v>
      </c>
    </row>
    <row r="55" spans="1:5" ht="33">
      <c r="A55" s="9" t="s">
        <v>556</v>
      </c>
      <c r="B55" s="9"/>
      <c r="C55" s="41" t="s">
        <v>557</v>
      </c>
      <c r="D55" s="42">
        <f>D56</f>
        <v>33.7</v>
      </c>
      <c r="E55" s="42">
        <f>E56</f>
        <v>33.7</v>
      </c>
    </row>
    <row r="56" spans="1:5" ht="12.75">
      <c r="A56" s="9" t="s">
        <v>556</v>
      </c>
      <c r="B56" s="9" t="s">
        <v>24</v>
      </c>
      <c r="C56" s="41" t="s">
        <v>25</v>
      </c>
      <c r="D56" s="42">
        <f>'№8 (ведомст.)'!F462</f>
        <v>33.7</v>
      </c>
      <c r="E56" s="42">
        <f>'№8 (ведомст.)'!G462</f>
        <v>33.7</v>
      </c>
    </row>
    <row r="57" spans="1:5" s="56" customFormat="1" ht="49.5">
      <c r="A57" s="33" t="s">
        <v>332</v>
      </c>
      <c r="B57" s="33"/>
      <c r="C57" s="34" t="s">
        <v>152</v>
      </c>
      <c r="D57" s="52">
        <f>D58+D60+D62+D64+D66+D68+D72+D70</f>
        <v>5170.300000000001</v>
      </c>
      <c r="E57" s="52">
        <f>E58+E60+E62+E64+E66+E68+E72+E70</f>
        <v>5170.1</v>
      </c>
    </row>
    <row r="58" spans="1:5" ht="12.75">
      <c r="A58" s="9" t="s">
        <v>333</v>
      </c>
      <c r="B58" s="9"/>
      <c r="C58" s="41" t="s">
        <v>153</v>
      </c>
      <c r="D58" s="42">
        <f>D59</f>
        <v>55</v>
      </c>
      <c r="E58" s="42">
        <f>E59</f>
        <v>55</v>
      </c>
    </row>
    <row r="59" spans="1:5" ht="33">
      <c r="A59" s="9" t="s">
        <v>333</v>
      </c>
      <c r="B59" s="9" t="s">
        <v>16</v>
      </c>
      <c r="C59" s="41" t="s">
        <v>21</v>
      </c>
      <c r="D59" s="42">
        <f>'№8 (ведомст.)'!F366</f>
        <v>55</v>
      </c>
      <c r="E59" s="42">
        <f>'№8 (ведомст.)'!G366</f>
        <v>55</v>
      </c>
    </row>
    <row r="60" spans="1:5" ht="33">
      <c r="A60" s="9" t="s">
        <v>334</v>
      </c>
      <c r="B60" s="9"/>
      <c r="C60" s="41" t="s">
        <v>154</v>
      </c>
      <c r="D60" s="42">
        <f>D61</f>
        <v>13</v>
      </c>
      <c r="E60" s="42">
        <f>E61</f>
        <v>12.8</v>
      </c>
    </row>
    <row r="61" spans="1:5" ht="33">
      <c r="A61" s="9" t="s">
        <v>334</v>
      </c>
      <c r="B61" s="9" t="s">
        <v>16</v>
      </c>
      <c r="C61" s="41" t="s">
        <v>21</v>
      </c>
      <c r="D61" s="42">
        <f>'№8 (ведомст.)'!F367</f>
        <v>13</v>
      </c>
      <c r="E61" s="42">
        <f>'№8 (ведомст.)'!G367</f>
        <v>12.8</v>
      </c>
    </row>
    <row r="62" spans="1:5" ht="12.75">
      <c r="A62" s="9" t="s">
        <v>367</v>
      </c>
      <c r="B62" s="9"/>
      <c r="C62" s="41" t="s">
        <v>247</v>
      </c>
      <c r="D62" s="42">
        <f>D63</f>
        <v>20</v>
      </c>
      <c r="E62" s="42">
        <f>E63</f>
        <v>20</v>
      </c>
    </row>
    <row r="63" spans="1:5" ht="33">
      <c r="A63" s="9" t="s">
        <v>367</v>
      </c>
      <c r="B63" s="9" t="s">
        <v>16</v>
      </c>
      <c r="C63" s="41" t="s">
        <v>21</v>
      </c>
      <c r="D63" s="42">
        <f>'№8 (ведомст.)'!F370</f>
        <v>20</v>
      </c>
      <c r="E63" s="42">
        <f>'№8 (ведомст.)'!G370</f>
        <v>20</v>
      </c>
    </row>
    <row r="64" spans="1:5" ht="12.75">
      <c r="A64" s="9" t="s">
        <v>335</v>
      </c>
      <c r="B64" s="9"/>
      <c r="C64" s="41" t="s">
        <v>155</v>
      </c>
      <c r="D64" s="42">
        <f>D65</f>
        <v>4655.900000000001</v>
      </c>
      <c r="E64" s="42">
        <f>E65</f>
        <v>4655.9</v>
      </c>
    </row>
    <row r="65" spans="1:5" ht="33">
      <c r="A65" s="9" t="s">
        <v>335</v>
      </c>
      <c r="B65" s="9" t="s">
        <v>16</v>
      </c>
      <c r="C65" s="41" t="s">
        <v>21</v>
      </c>
      <c r="D65" s="42">
        <f>'№8 (ведомст.)'!F371</f>
        <v>4655.900000000001</v>
      </c>
      <c r="E65" s="42">
        <f>'№8 (ведомст.)'!G371</f>
        <v>4655.9</v>
      </c>
    </row>
    <row r="66" spans="1:5" ht="33">
      <c r="A66" s="9" t="s">
        <v>336</v>
      </c>
      <c r="B66" s="9"/>
      <c r="C66" s="41" t="s">
        <v>156</v>
      </c>
      <c r="D66" s="42">
        <f>D67</f>
        <v>164.6</v>
      </c>
      <c r="E66" s="42">
        <f>E67</f>
        <v>164.6</v>
      </c>
    </row>
    <row r="67" spans="1:5" ht="33">
      <c r="A67" s="9" t="s">
        <v>336</v>
      </c>
      <c r="B67" s="9" t="s">
        <v>16</v>
      </c>
      <c r="C67" s="41" t="s">
        <v>21</v>
      </c>
      <c r="D67" s="42">
        <f>'№8 (ведомст.)'!F373</f>
        <v>164.6</v>
      </c>
      <c r="E67" s="42">
        <f>'№8 (ведомст.)'!G373</f>
        <v>164.6</v>
      </c>
    </row>
    <row r="68" spans="1:5" ht="12.75">
      <c r="A68" s="9" t="s">
        <v>337</v>
      </c>
      <c r="B68" s="9"/>
      <c r="C68" s="41" t="s">
        <v>157</v>
      </c>
      <c r="D68" s="42">
        <f>D69</f>
        <v>46</v>
      </c>
      <c r="E68" s="42">
        <f>E69</f>
        <v>46</v>
      </c>
    </row>
    <row r="69" spans="1:5" ht="33">
      <c r="A69" s="9" t="s">
        <v>337</v>
      </c>
      <c r="B69" s="9" t="s">
        <v>16</v>
      </c>
      <c r="C69" s="41" t="s">
        <v>21</v>
      </c>
      <c r="D69" s="42">
        <f>'№8 (ведомст.)'!F375</f>
        <v>46</v>
      </c>
      <c r="E69" s="42">
        <f>'№8 (ведомст.)'!G375</f>
        <v>46</v>
      </c>
    </row>
    <row r="70" spans="1:5" ht="33">
      <c r="A70" s="9" t="s">
        <v>469</v>
      </c>
      <c r="B70" s="9"/>
      <c r="C70" s="41" t="s">
        <v>470</v>
      </c>
      <c r="D70" s="42">
        <f>D71</f>
        <v>152.8</v>
      </c>
      <c r="E70" s="42">
        <f>E71</f>
        <v>152.8</v>
      </c>
    </row>
    <row r="71" spans="1:5" ht="33">
      <c r="A71" s="9" t="s">
        <v>469</v>
      </c>
      <c r="B71" s="9" t="s">
        <v>16</v>
      </c>
      <c r="C71" s="41" t="s">
        <v>21</v>
      </c>
      <c r="D71" s="42">
        <f>'№8 (ведомст.)'!F378</f>
        <v>152.8</v>
      </c>
      <c r="E71" s="42">
        <f>'№8 (ведомст.)'!G378</f>
        <v>152.8</v>
      </c>
    </row>
    <row r="72" spans="1:5" ht="49.5">
      <c r="A72" s="9" t="s">
        <v>381</v>
      </c>
      <c r="B72" s="9"/>
      <c r="C72" s="41" t="s">
        <v>158</v>
      </c>
      <c r="D72" s="42">
        <f>D73</f>
        <v>63</v>
      </c>
      <c r="E72" s="42">
        <f>E73</f>
        <v>63</v>
      </c>
    </row>
    <row r="73" spans="1:5" ht="33">
      <c r="A73" s="9" t="s">
        <v>381</v>
      </c>
      <c r="B73" s="9" t="s">
        <v>16</v>
      </c>
      <c r="C73" s="41" t="s">
        <v>21</v>
      </c>
      <c r="D73" s="42">
        <f>'№8 (ведомст.)'!F380</f>
        <v>63</v>
      </c>
      <c r="E73" s="42">
        <f>'№8 (ведомст.)'!G380</f>
        <v>63</v>
      </c>
    </row>
    <row r="74" spans="1:5" ht="66">
      <c r="A74" s="33" t="s">
        <v>486</v>
      </c>
      <c r="B74" s="33"/>
      <c r="C74" s="34" t="s">
        <v>500</v>
      </c>
      <c r="D74" s="52">
        <f>D75</f>
        <v>811.1</v>
      </c>
      <c r="E74" s="52">
        <f>E75</f>
        <v>551.6</v>
      </c>
    </row>
    <row r="75" spans="1:5" ht="66">
      <c r="A75" s="9" t="s">
        <v>491</v>
      </c>
      <c r="B75" s="9"/>
      <c r="C75" s="41" t="s">
        <v>501</v>
      </c>
      <c r="D75" s="42">
        <f>D76</f>
        <v>811.1</v>
      </c>
      <c r="E75" s="42">
        <f>E76</f>
        <v>551.6</v>
      </c>
    </row>
    <row r="76" spans="1:5" ht="12.75">
      <c r="A76" s="9" t="s">
        <v>491</v>
      </c>
      <c r="B76" s="9" t="s">
        <v>37</v>
      </c>
      <c r="C76" s="41" t="s">
        <v>125</v>
      </c>
      <c r="D76" s="42">
        <f>'№8 (ведомст.)'!F189</f>
        <v>811.1</v>
      </c>
      <c r="E76" s="42">
        <f>'№8 (ведомст.)'!G189</f>
        <v>551.6</v>
      </c>
    </row>
    <row r="77" spans="1:5" s="56" customFormat="1" ht="12.75">
      <c r="A77" s="33" t="s">
        <v>356</v>
      </c>
      <c r="B77" s="65"/>
      <c r="C77" s="34" t="s">
        <v>5</v>
      </c>
      <c r="D77" s="52">
        <f>D78+D80+D82</f>
        <v>14615.6</v>
      </c>
      <c r="E77" s="52">
        <f>E78+E80+E82</f>
        <v>14615.5</v>
      </c>
    </row>
    <row r="78" spans="1:5" ht="49.5">
      <c r="A78" s="9" t="s">
        <v>357</v>
      </c>
      <c r="B78" s="9"/>
      <c r="C78" s="41" t="s">
        <v>113</v>
      </c>
      <c r="D78" s="42">
        <f>D79</f>
        <v>1906.9</v>
      </c>
      <c r="E78" s="42">
        <f>E79</f>
        <v>1906.9</v>
      </c>
    </row>
    <row r="79" spans="1:5" ht="12.75">
      <c r="A79" s="9" t="s">
        <v>357</v>
      </c>
      <c r="B79" s="9" t="s">
        <v>24</v>
      </c>
      <c r="C79" s="41" t="s">
        <v>25</v>
      </c>
      <c r="D79" s="42">
        <f>'№8 (ведомст.)'!F483</f>
        <v>1906.9</v>
      </c>
      <c r="E79" s="42">
        <f>'№8 (ведомст.)'!G483</f>
        <v>1906.9</v>
      </c>
    </row>
    <row r="80" spans="1:5" ht="33">
      <c r="A80" s="9" t="s">
        <v>358</v>
      </c>
      <c r="B80" s="9"/>
      <c r="C80" s="41" t="s">
        <v>142</v>
      </c>
      <c r="D80" s="42">
        <f>D81</f>
        <v>8671.6</v>
      </c>
      <c r="E80" s="42">
        <f>E81</f>
        <v>8671.6</v>
      </c>
    </row>
    <row r="81" spans="1:5" ht="12.75">
      <c r="A81" s="9" t="s">
        <v>358</v>
      </c>
      <c r="B81" s="9" t="s">
        <v>24</v>
      </c>
      <c r="C81" s="41" t="s">
        <v>25</v>
      </c>
      <c r="D81" s="42">
        <f>'№8 (ведомст.)'!F485</f>
        <v>8671.6</v>
      </c>
      <c r="E81" s="42">
        <f>'№8 (ведомст.)'!G485</f>
        <v>8671.6</v>
      </c>
    </row>
    <row r="82" spans="1:5" ht="33">
      <c r="A82" s="9" t="s">
        <v>359</v>
      </c>
      <c r="B82" s="9"/>
      <c r="C82" s="41" t="s">
        <v>143</v>
      </c>
      <c r="D82" s="42">
        <f>D83</f>
        <v>4037.1000000000004</v>
      </c>
      <c r="E82" s="42">
        <f>E83</f>
        <v>4037</v>
      </c>
    </row>
    <row r="83" spans="1:5" ht="12.75">
      <c r="A83" s="9" t="s">
        <v>359</v>
      </c>
      <c r="B83" s="9" t="s">
        <v>24</v>
      </c>
      <c r="C83" s="41" t="s">
        <v>25</v>
      </c>
      <c r="D83" s="42">
        <f>'№8 (ведомст.)'!F490</f>
        <v>4037.1000000000004</v>
      </c>
      <c r="E83" s="42">
        <f>'№8 (ведомст.)'!G490</f>
        <v>4037</v>
      </c>
    </row>
    <row r="84" spans="1:5" s="56" customFormat="1" ht="33">
      <c r="A84" s="33" t="s">
        <v>292</v>
      </c>
      <c r="B84" s="33"/>
      <c r="C84" s="34" t="s">
        <v>174</v>
      </c>
      <c r="D84" s="52">
        <f>D85</f>
        <v>39907.8</v>
      </c>
      <c r="E84" s="52">
        <f>E85</f>
        <v>39806.2</v>
      </c>
    </row>
    <row r="85" spans="1:5" s="56" customFormat="1" ht="33">
      <c r="A85" s="13" t="s">
        <v>293</v>
      </c>
      <c r="B85" s="7"/>
      <c r="C85" s="34" t="s">
        <v>175</v>
      </c>
      <c r="D85" s="52">
        <f>D92+D98+D104+D106+D94+D86+D102+D108+D96+D88+D90+D100</f>
        <v>39907.8</v>
      </c>
      <c r="E85" s="52">
        <f>E92+E98+E104+E106+E94+E86+E102+E108+E96+E88+E90+E100</f>
        <v>39806.2</v>
      </c>
    </row>
    <row r="86" spans="1:5" s="56" customFormat="1" ht="33">
      <c r="A86" s="9" t="s">
        <v>297</v>
      </c>
      <c r="B86" s="9"/>
      <c r="C86" s="10" t="s">
        <v>245</v>
      </c>
      <c r="D86" s="42">
        <f>D87</f>
        <v>837.5</v>
      </c>
      <c r="E86" s="42">
        <f>E87</f>
        <v>837.5</v>
      </c>
    </row>
    <row r="87" spans="1:5" s="56" customFormat="1" ht="12.75">
      <c r="A87" s="9" t="s">
        <v>297</v>
      </c>
      <c r="B87" s="9" t="s">
        <v>37</v>
      </c>
      <c r="C87" s="41" t="s">
        <v>125</v>
      </c>
      <c r="D87" s="42">
        <f>'№8 (ведомст.)'!F196</f>
        <v>837.5</v>
      </c>
      <c r="E87" s="42">
        <f>'№8 (ведомст.)'!G196</f>
        <v>837.5</v>
      </c>
    </row>
    <row r="88" spans="1:5" s="56" customFormat="1" ht="33">
      <c r="A88" s="9" t="s">
        <v>550</v>
      </c>
      <c r="B88" s="9"/>
      <c r="C88" s="10" t="s">
        <v>552</v>
      </c>
      <c r="D88" s="42">
        <f>D89</f>
        <v>55.5</v>
      </c>
      <c r="E88" s="42">
        <f>E89</f>
        <v>55.5</v>
      </c>
    </row>
    <row r="89" spans="1:5" s="56" customFormat="1" ht="12.75">
      <c r="A89" s="9" t="s">
        <v>550</v>
      </c>
      <c r="B89" s="9" t="s">
        <v>37</v>
      </c>
      <c r="C89" s="41" t="s">
        <v>125</v>
      </c>
      <c r="D89" s="42">
        <f>'№8 (ведомст.)'!F198</f>
        <v>55.5</v>
      </c>
      <c r="E89" s="42">
        <f>'№8 (ведомст.)'!G198</f>
        <v>55.5</v>
      </c>
    </row>
    <row r="90" spans="1:5" s="56" customFormat="1" ht="33">
      <c r="A90" s="9" t="s">
        <v>551</v>
      </c>
      <c r="B90" s="9"/>
      <c r="C90" s="10" t="s">
        <v>553</v>
      </c>
      <c r="D90" s="42">
        <f>D91</f>
        <v>13</v>
      </c>
      <c r="E90" s="42">
        <f>E91</f>
        <v>13</v>
      </c>
    </row>
    <row r="91" spans="1:5" s="56" customFormat="1" ht="12.75">
      <c r="A91" s="9" t="s">
        <v>551</v>
      </c>
      <c r="B91" s="9" t="s">
        <v>37</v>
      </c>
      <c r="C91" s="41" t="s">
        <v>125</v>
      </c>
      <c r="D91" s="42">
        <f>'№8 (ведомст.)'!F200</f>
        <v>13</v>
      </c>
      <c r="E91" s="42">
        <f>'№8 (ведомст.)'!G200</f>
        <v>13</v>
      </c>
    </row>
    <row r="92" spans="1:5" ht="33">
      <c r="A92" s="9" t="s">
        <v>362</v>
      </c>
      <c r="B92" s="9"/>
      <c r="C92" s="41" t="s">
        <v>176</v>
      </c>
      <c r="D92" s="42">
        <f>D93</f>
        <v>150</v>
      </c>
      <c r="E92" s="42">
        <f>E93</f>
        <v>149.9</v>
      </c>
    </row>
    <row r="93" spans="1:5" ht="12.75">
      <c r="A93" s="9" t="s">
        <v>362</v>
      </c>
      <c r="B93" s="9" t="s">
        <v>37</v>
      </c>
      <c r="C93" s="41" t="s">
        <v>125</v>
      </c>
      <c r="D93" s="42">
        <f>'№8 (ведомст.)'!F201</f>
        <v>150</v>
      </c>
      <c r="E93" s="42">
        <f>'№8 (ведомст.)'!G201</f>
        <v>149.9</v>
      </c>
    </row>
    <row r="94" spans="1:5" ht="12.75">
      <c r="A94" s="9" t="s">
        <v>298</v>
      </c>
      <c r="B94" s="9"/>
      <c r="C94" s="41" t="s">
        <v>179</v>
      </c>
      <c r="D94" s="42">
        <f>D95</f>
        <v>8499.8</v>
      </c>
      <c r="E94" s="42">
        <f>E95</f>
        <v>8398.3</v>
      </c>
    </row>
    <row r="95" spans="1:5" ht="12.75">
      <c r="A95" s="9" t="s">
        <v>298</v>
      </c>
      <c r="B95" s="9" t="s">
        <v>37</v>
      </c>
      <c r="C95" s="41" t="s">
        <v>125</v>
      </c>
      <c r="D95" s="42">
        <f>'№8 (ведомст.)'!F203</f>
        <v>8499.8</v>
      </c>
      <c r="E95" s="42">
        <f>'№8 (ведомст.)'!G203</f>
        <v>8398.3</v>
      </c>
    </row>
    <row r="96" spans="1:5" ht="33">
      <c r="A96" s="9" t="s">
        <v>544</v>
      </c>
      <c r="B96" s="9"/>
      <c r="C96" s="41" t="s">
        <v>545</v>
      </c>
      <c r="D96" s="42">
        <f>D97</f>
        <v>14.1</v>
      </c>
      <c r="E96" s="42">
        <f>E97</f>
        <v>14.1</v>
      </c>
    </row>
    <row r="97" spans="1:5" ht="12.75">
      <c r="A97" s="9" t="s">
        <v>544</v>
      </c>
      <c r="B97" s="9" t="s">
        <v>37</v>
      </c>
      <c r="C97" s="41" t="s">
        <v>125</v>
      </c>
      <c r="D97" s="42">
        <f>'№8 (ведомст.)'!F208</f>
        <v>14.1</v>
      </c>
      <c r="E97" s="42">
        <f>'№8 (ведомст.)'!G208</f>
        <v>14.1</v>
      </c>
    </row>
    <row r="98" spans="1:5" ht="33">
      <c r="A98" s="9" t="s">
        <v>295</v>
      </c>
      <c r="B98" s="9"/>
      <c r="C98" s="41" t="s">
        <v>177</v>
      </c>
      <c r="D98" s="42">
        <f>D99</f>
        <v>12878.300000000001</v>
      </c>
      <c r="E98" s="42">
        <f>E99</f>
        <v>12878.3</v>
      </c>
    </row>
    <row r="99" spans="1:5" ht="12.75">
      <c r="A99" s="9" t="s">
        <v>295</v>
      </c>
      <c r="B99" s="9" t="s">
        <v>37</v>
      </c>
      <c r="C99" s="41" t="s">
        <v>125</v>
      </c>
      <c r="D99" s="42">
        <f>'№8 (ведомст.)'!F210</f>
        <v>12878.300000000001</v>
      </c>
      <c r="E99" s="42">
        <f>'№8 (ведомст.)'!G210</f>
        <v>12878.3</v>
      </c>
    </row>
    <row r="100" spans="1:5" ht="12.75">
      <c r="A100" s="9" t="s">
        <v>558</v>
      </c>
      <c r="B100" s="16"/>
      <c r="C100" s="10" t="s">
        <v>559</v>
      </c>
      <c r="D100" s="42">
        <f>D101</f>
        <v>46</v>
      </c>
      <c r="E100" s="42">
        <f>E101</f>
        <v>46</v>
      </c>
    </row>
    <row r="101" spans="1:5" ht="12.75">
      <c r="A101" s="9" t="s">
        <v>558</v>
      </c>
      <c r="B101" s="9" t="s">
        <v>37</v>
      </c>
      <c r="C101" s="41" t="s">
        <v>125</v>
      </c>
      <c r="D101" s="42">
        <f>'№8 (ведомст.)'!F213</f>
        <v>46</v>
      </c>
      <c r="E101" s="42">
        <f>'№8 (ведомст.)'!G213</f>
        <v>46</v>
      </c>
    </row>
    <row r="102" spans="1:5" ht="49.5">
      <c r="A102" s="9" t="s">
        <v>457</v>
      </c>
      <c r="B102" s="16"/>
      <c r="C102" s="41" t="s">
        <v>458</v>
      </c>
      <c r="D102" s="42">
        <f>D103</f>
        <v>568.9</v>
      </c>
      <c r="E102" s="42">
        <f>E103</f>
        <v>568.9</v>
      </c>
    </row>
    <row r="103" spans="1:5" ht="12.75">
      <c r="A103" s="9" t="s">
        <v>457</v>
      </c>
      <c r="B103" s="9" t="s">
        <v>37</v>
      </c>
      <c r="C103" s="41" t="s">
        <v>125</v>
      </c>
      <c r="D103" s="42">
        <f>'№8 (ведомст.)'!F215</f>
        <v>568.9</v>
      </c>
      <c r="E103" s="42">
        <f>'№8 (ведомст.)'!G215</f>
        <v>568.9</v>
      </c>
    </row>
    <row r="104" spans="1:5" ht="12.75">
      <c r="A104" s="9" t="s">
        <v>294</v>
      </c>
      <c r="B104" s="9"/>
      <c r="C104" s="41" t="s">
        <v>214</v>
      </c>
      <c r="D104" s="42">
        <f>D105</f>
        <v>15000.9</v>
      </c>
      <c r="E104" s="42">
        <f>E105</f>
        <v>15000.9</v>
      </c>
    </row>
    <row r="105" spans="1:5" ht="12.75">
      <c r="A105" s="9" t="s">
        <v>294</v>
      </c>
      <c r="B105" s="9" t="s">
        <v>37</v>
      </c>
      <c r="C105" s="41" t="s">
        <v>125</v>
      </c>
      <c r="D105" s="42">
        <f>'№8 (ведомст.)'!F180</f>
        <v>15000.9</v>
      </c>
      <c r="E105" s="42">
        <f>'№8 (ведомст.)'!G180</f>
        <v>15000.9</v>
      </c>
    </row>
    <row r="106" spans="1:5" ht="49.5">
      <c r="A106" s="9" t="s">
        <v>296</v>
      </c>
      <c r="B106" s="9"/>
      <c r="C106" s="41" t="s">
        <v>178</v>
      </c>
      <c r="D106" s="42">
        <f>D107</f>
        <v>31</v>
      </c>
      <c r="E106" s="42">
        <f>E107</f>
        <v>31</v>
      </c>
    </row>
    <row r="107" spans="1:5" ht="12.75">
      <c r="A107" s="9" t="s">
        <v>296</v>
      </c>
      <c r="B107" s="9" t="s">
        <v>37</v>
      </c>
      <c r="C107" s="41" t="s">
        <v>125</v>
      </c>
      <c r="D107" s="42">
        <f>'№8 (ведомст.)'!F217</f>
        <v>31</v>
      </c>
      <c r="E107" s="42">
        <f>'№8 (ведомст.)'!G217</f>
        <v>31</v>
      </c>
    </row>
    <row r="108" spans="1:5" ht="33">
      <c r="A108" s="9" t="s">
        <v>459</v>
      </c>
      <c r="B108" s="16"/>
      <c r="C108" s="10" t="s">
        <v>460</v>
      </c>
      <c r="D108" s="42">
        <f>D109</f>
        <v>1812.8</v>
      </c>
      <c r="E108" s="42">
        <f>E109</f>
        <v>1812.8</v>
      </c>
    </row>
    <row r="109" spans="1:5" ht="12.75">
      <c r="A109" s="9" t="s">
        <v>459</v>
      </c>
      <c r="B109" s="9" t="s">
        <v>37</v>
      </c>
      <c r="C109" s="41" t="s">
        <v>125</v>
      </c>
      <c r="D109" s="42">
        <f>'№8 (ведомст.)'!F183</f>
        <v>1812.8</v>
      </c>
      <c r="E109" s="42">
        <f>'№8 (ведомст.)'!G183</f>
        <v>1812.8</v>
      </c>
    </row>
    <row r="110" spans="1:5" s="56" customFormat="1" ht="49.5">
      <c r="A110" s="33" t="s">
        <v>326</v>
      </c>
      <c r="B110" s="33"/>
      <c r="C110" s="34" t="s">
        <v>159</v>
      </c>
      <c r="D110" s="52">
        <f>D111+D122</f>
        <v>26191.4</v>
      </c>
      <c r="E110" s="52">
        <f>E111+E122</f>
        <v>26189.4</v>
      </c>
    </row>
    <row r="111" spans="1:5" s="56" customFormat="1" ht="33">
      <c r="A111" s="13" t="s">
        <v>327</v>
      </c>
      <c r="B111" s="88"/>
      <c r="C111" s="34" t="s">
        <v>160</v>
      </c>
      <c r="D111" s="52">
        <f>D112+D114+D118+D116+D120</f>
        <v>23871.7</v>
      </c>
      <c r="E111" s="52">
        <f>E112+E114+E118+E116+E120</f>
        <v>23871.7</v>
      </c>
    </row>
    <row r="112" spans="1:5" ht="12.75">
      <c r="A112" s="12" t="s">
        <v>339</v>
      </c>
      <c r="B112" s="9"/>
      <c r="C112" s="41" t="s">
        <v>163</v>
      </c>
      <c r="D112" s="42">
        <f>D113</f>
        <v>1185.5</v>
      </c>
      <c r="E112" s="42">
        <f>E113</f>
        <v>1185.5</v>
      </c>
    </row>
    <row r="113" spans="1:5" ht="33">
      <c r="A113" s="12" t="s">
        <v>339</v>
      </c>
      <c r="B113" s="9" t="s">
        <v>16</v>
      </c>
      <c r="C113" s="41" t="s">
        <v>21</v>
      </c>
      <c r="D113" s="42">
        <f>'№8 (ведомст.)'!F398</f>
        <v>1185.5</v>
      </c>
      <c r="E113" s="42">
        <f>'№8 (ведомст.)'!G398</f>
        <v>1185.5</v>
      </c>
    </row>
    <row r="114" spans="1:5" ht="33">
      <c r="A114" s="12" t="s">
        <v>340</v>
      </c>
      <c r="B114" s="9"/>
      <c r="C114" s="41" t="s">
        <v>164</v>
      </c>
      <c r="D114" s="42">
        <f>D115</f>
        <v>9477.7</v>
      </c>
      <c r="E114" s="42">
        <f>E115</f>
        <v>9477.7</v>
      </c>
    </row>
    <row r="115" spans="1:5" ht="33">
      <c r="A115" s="12" t="s">
        <v>340</v>
      </c>
      <c r="B115" s="9" t="s">
        <v>16</v>
      </c>
      <c r="C115" s="41" t="s">
        <v>21</v>
      </c>
      <c r="D115" s="42">
        <f>'№8 (ведомст.)'!F402</f>
        <v>9477.7</v>
      </c>
      <c r="E115" s="42">
        <f>'№8 (ведомст.)'!G402</f>
        <v>9477.7</v>
      </c>
    </row>
    <row r="116" spans="1:5" ht="33">
      <c r="A116" s="12" t="s">
        <v>341</v>
      </c>
      <c r="B116" s="9"/>
      <c r="C116" s="41" t="s">
        <v>165</v>
      </c>
      <c r="D116" s="42">
        <f>D117</f>
        <v>251.9</v>
      </c>
      <c r="E116" s="42">
        <f>E117</f>
        <v>251.9</v>
      </c>
    </row>
    <row r="117" spans="1:5" ht="33">
      <c r="A117" s="12" t="s">
        <v>341</v>
      </c>
      <c r="B117" s="9" t="s">
        <v>16</v>
      </c>
      <c r="C117" s="41" t="s">
        <v>21</v>
      </c>
      <c r="D117" s="42">
        <f>'№8 (ведомст.)'!F404</f>
        <v>251.9</v>
      </c>
      <c r="E117" s="42">
        <f>'№8 (ведомст.)'!G404</f>
        <v>251.9</v>
      </c>
    </row>
    <row r="118" spans="1:5" ht="49.5">
      <c r="A118" s="12" t="s">
        <v>328</v>
      </c>
      <c r="B118" s="9"/>
      <c r="C118" s="41" t="s">
        <v>161</v>
      </c>
      <c r="D118" s="42">
        <f>D119</f>
        <v>11720.9</v>
      </c>
      <c r="E118" s="42">
        <f>E119</f>
        <v>11720.9</v>
      </c>
    </row>
    <row r="119" spans="1:5" ht="33">
      <c r="A119" s="12" t="s">
        <v>328</v>
      </c>
      <c r="B119" s="9" t="s">
        <v>16</v>
      </c>
      <c r="C119" s="41" t="s">
        <v>21</v>
      </c>
      <c r="D119" s="42">
        <f>'№8 (ведомст.)'!F353</f>
        <v>11720.9</v>
      </c>
      <c r="E119" s="42">
        <f>'№8 (ведомст.)'!G353</f>
        <v>11720.9</v>
      </c>
    </row>
    <row r="120" spans="1:5" ht="49.5">
      <c r="A120" s="12" t="s">
        <v>329</v>
      </c>
      <c r="B120" s="16"/>
      <c r="C120" s="10" t="s">
        <v>246</v>
      </c>
      <c r="D120" s="42">
        <f>D121</f>
        <v>1235.6999999999998</v>
      </c>
      <c r="E120" s="42">
        <f>E121</f>
        <v>1235.7</v>
      </c>
    </row>
    <row r="121" spans="1:5" ht="33">
      <c r="A121" s="12" t="s">
        <v>329</v>
      </c>
      <c r="B121" s="9" t="s">
        <v>16</v>
      </c>
      <c r="C121" s="41" t="s">
        <v>21</v>
      </c>
      <c r="D121" s="42">
        <f>'№8 (ведомст.)'!F355</f>
        <v>1235.6999999999998</v>
      </c>
      <c r="E121" s="42">
        <f>'№8 (ведомст.)'!G355</f>
        <v>1235.7</v>
      </c>
    </row>
    <row r="122" spans="1:5" s="56" customFormat="1" ht="12.75">
      <c r="A122" s="13" t="s">
        <v>342</v>
      </c>
      <c r="B122" s="88"/>
      <c r="C122" s="34" t="s">
        <v>5</v>
      </c>
      <c r="D122" s="52">
        <f aca="true" t="shared" si="0" ref="D122:E123">D123</f>
        <v>2319.7</v>
      </c>
      <c r="E122" s="52">
        <f t="shared" si="0"/>
        <v>2317.7</v>
      </c>
    </row>
    <row r="123" spans="1:5" ht="49.5">
      <c r="A123" s="12" t="s">
        <v>343</v>
      </c>
      <c r="B123" s="9"/>
      <c r="C123" s="41" t="s">
        <v>113</v>
      </c>
      <c r="D123" s="42">
        <f t="shared" si="0"/>
        <v>2319.7</v>
      </c>
      <c r="E123" s="42">
        <f t="shared" si="0"/>
        <v>2317.7</v>
      </c>
    </row>
    <row r="124" spans="1:5" ht="33">
      <c r="A124" s="12" t="s">
        <v>343</v>
      </c>
      <c r="B124" s="9" t="s">
        <v>16</v>
      </c>
      <c r="C124" s="41" t="s">
        <v>21</v>
      </c>
      <c r="D124" s="42">
        <f>'№8 (ведомст.)'!F410</f>
        <v>2319.7</v>
      </c>
      <c r="E124" s="42">
        <f>'№8 (ведомст.)'!G410</f>
        <v>2317.7</v>
      </c>
    </row>
    <row r="125" spans="1:5" s="56" customFormat="1" ht="49.5">
      <c r="A125" s="33" t="s">
        <v>284</v>
      </c>
      <c r="B125" s="33"/>
      <c r="C125" s="34" t="s">
        <v>173</v>
      </c>
      <c r="D125" s="52">
        <f>D126+D133</f>
        <v>10356.099999999999</v>
      </c>
      <c r="E125" s="52">
        <f>E126+E133</f>
        <v>10262</v>
      </c>
    </row>
    <row r="126" spans="1:5" s="56" customFormat="1" ht="12.75">
      <c r="A126" s="13" t="s">
        <v>338</v>
      </c>
      <c r="B126" s="88"/>
      <c r="C126" s="34" t="s">
        <v>201</v>
      </c>
      <c r="D126" s="52">
        <f>D127+D129+D131</f>
        <v>3491.2</v>
      </c>
      <c r="E126" s="52">
        <f>E127+E129+E131</f>
        <v>3491.2</v>
      </c>
    </row>
    <row r="127" spans="1:5" ht="33">
      <c r="A127" s="9" t="s">
        <v>397</v>
      </c>
      <c r="B127" s="9"/>
      <c r="C127" s="41" t="s">
        <v>202</v>
      </c>
      <c r="D127" s="42">
        <f>D128</f>
        <v>1798.2</v>
      </c>
      <c r="E127" s="42">
        <f>E128</f>
        <v>1798.2</v>
      </c>
    </row>
    <row r="128" spans="1:5" ht="33">
      <c r="A128" s="9" t="s">
        <v>397</v>
      </c>
      <c r="B128" s="9" t="s">
        <v>16</v>
      </c>
      <c r="C128" s="41" t="s">
        <v>21</v>
      </c>
      <c r="D128" s="42">
        <f>'№8 (ведомст.)'!F387</f>
        <v>1798.2</v>
      </c>
      <c r="E128" s="42">
        <f>'№8 (ведомст.)'!G387</f>
        <v>1798.2</v>
      </c>
    </row>
    <row r="129" spans="1:5" ht="33">
      <c r="A129" s="9" t="s">
        <v>541</v>
      </c>
      <c r="B129" s="16"/>
      <c r="C129" s="10" t="s">
        <v>540</v>
      </c>
      <c r="D129" s="42">
        <f>D130</f>
        <v>418.9</v>
      </c>
      <c r="E129" s="42">
        <f>E130</f>
        <v>418.9</v>
      </c>
    </row>
    <row r="130" spans="1:5" ht="33">
      <c r="A130" s="9" t="s">
        <v>541</v>
      </c>
      <c r="B130" s="9" t="s">
        <v>16</v>
      </c>
      <c r="C130" s="41" t="s">
        <v>21</v>
      </c>
      <c r="D130" s="42">
        <f>'№8 (ведомст.)'!F390</f>
        <v>418.9</v>
      </c>
      <c r="E130" s="42">
        <f>'№8 (ведомст.)'!G390</f>
        <v>418.9</v>
      </c>
    </row>
    <row r="131" spans="1:5" ht="33">
      <c r="A131" s="9" t="s">
        <v>543</v>
      </c>
      <c r="B131" s="16"/>
      <c r="C131" s="10" t="s">
        <v>542</v>
      </c>
      <c r="D131" s="42">
        <f>D132</f>
        <v>1274.1</v>
      </c>
      <c r="E131" s="42">
        <f>E132</f>
        <v>1274.1</v>
      </c>
    </row>
    <row r="132" spans="1:5" ht="33">
      <c r="A132" s="9" t="s">
        <v>543</v>
      </c>
      <c r="B132" s="9" t="s">
        <v>16</v>
      </c>
      <c r="C132" s="41" t="s">
        <v>21</v>
      </c>
      <c r="D132" s="42">
        <f>'№8 (ведомст.)'!F392</f>
        <v>1274.1</v>
      </c>
      <c r="E132" s="42">
        <f>'№8 (ведомст.)'!G392</f>
        <v>1274.1</v>
      </c>
    </row>
    <row r="133" spans="1:5" s="56" customFormat="1" ht="49.5">
      <c r="A133" s="13" t="s">
        <v>323</v>
      </c>
      <c r="B133" s="88"/>
      <c r="C133" s="34" t="s">
        <v>239</v>
      </c>
      <c r="D133" s="52">
        <f>D134</f>
        <v>6864.9</v>
      </c>
      <c r="E133" s="52">
        <f>E134</f>
        <v>6770.8</v>
      </c>
    </row>
    <row r="134" spans="1:5" ht="72.6" customHeight="1">
      <c r="A134" s="9" t="s">
        <v>452</v>
      </c>
      <c r="B134" s="9"/>
      <c r="C134" s="41" t="s">
        <v>372</v>
      </c>
      <c r="D134" s="42">
        <f>D135</f>
        <v>6864.9</v>
      </c>
      <c r="E134" s="42">
        <f>E135</f>
        <v>6770.8</v>
      </c>
    </row>
    <row r="135" spans="1:5" ht="33">
      <c r="A135" s="9" t="s">
        <v>452</v>
      </c>
      <c r="B135" s="9" t="s">
        <v>69</v>
      </c>
      <c r="C135" s="41" t="s">
        <v>8</v>
      </c>
      <c r="D135" s="42">
        <f>'№8 (ведомст.)'!F328</f>
        <v>6864.9</v>
      </c>
      <c r="E135" s="42">
        <f>'№8 (ведомст.)'!G328</f>
        <v>6770.8</v>
      </c>
    </row>
    <row r="136" spans="1:5" s="56" customFormat="1" ht="49.5">
      <c r="A136" s="33" t="s">
        <v>266</v>
      </c>
      <c r="B136" s="33"/>
      <c r="C136" s="34" t="s">
        <v>203</v>
      </c>
      <c r="D136" s="52">
        <f>D143+D140+D137</f>
        <v>24813.600000000002</v>
      </c>
      <c r="E136" s="52">
        <f>E143+E140+E137</f>
        <v>18394.4</v>
      </c>
    </row>
    <row r="137" spans="1:5" s="56" customFormat="1" ht="49.5">
      <c r="A137" s="33" t="s">
        <v>534</v>
      </c>
      <c r="B137" s="33"/>
      <c r="C137" s="34" t="s">
        <v>535</v>
      </c>
      <c r="D137" s="52">
        <f>D138</f>
        <v>1150</v>
      </c>
      <c r="E137" s="52">
        <f>E138</f>
        <v>1150</v>
      </c>
    </row>
    <row r="138" spans="1:5" s="56" customFormat="1" ht="33">
      <c r="A138" s="9" t="s">
        <v>539</v>
      </c>
      <c r="B138" s="9"/>
      <c r="C138" s="35" t="s">
        <v>538</v>
      </c>
      <c r="D138" s="42">
        <f>D139</f>
        <v>1150</v>
      </c>
      <c r="E138" s="42">
        <f>E139</f>
        <v>1150</v>
      </c>
    </row>
    <row r="139" spans="1:5" s="56" customFormat="1" ht="12.75">
      <c r="A139" s="9" t="s">
        <v>539</v>
      </c>
      <c r="B139" s="9" t="s">
        <v>37</v>
      </c>
      <c r="C139" s="41" t="s">
        <v>125</v>
      </c>
      <c r="D139" s="42">
        <f>'№8 (ведомст.)'!F148</f>
        <v>1150</v>
      </c>
      <c r="E139" s="42">
        <f>'№8 (ведомст.)'!G148</f>
        <v>1150</v>
      </c>
    </row>
    <row r="140" spans="1:5" ht="33">
      <c r="A140" s="33" t="s">
        <v>285</v>
      </c>
      <c r="B140" s="9"/>
      <c r="C140" s="34" t="s">
        <v>236</v>
      </c>
      <c r="D140" s="52">
        <f aca="true" t="shared" si="1" ref="D140:E141">D141</f>
        <v>5719.900000000001</v>
      </c>
      <c r="E140" s="52">
        <f t="shared" si="1"/>
        <v>0</v>
      </c>
    </row>
    <row r="141" spans="1:5" ht="33">
      <c r="A141" s="9" t="s">
        <v>286</v>
      </c>
      <c r="B141" s="9"/>
      <c r="C141" s="41" t="s">
        <v>237</v>
      </c>
      <c r="D141" s="42">
        <f t="shared" si="1"/>
        <v>5719.900000000001</v>
      </c>
      <c r="E141" s="42">
        <f t="shared" si="1"/>
        <v>0</v>
      </c>
    </row>
    <row r="142" spans="1:5" ht="12.75">
      <c r="A142" s="9" t="s">
        <v>286</v>
      </c>
      <c r="B142" s="9" t="s">
        <v>37</v>
      </c>
      <c r="C142" s="41" t="s">
        <v>125</v>
      </c>
      <c r="D142" s="42">
        <f>'№8 (ведомст.)'!F151</f>
        <v>5719.900000000001</v>
      </c>
      <c r="E142" s="42">
        <f>'№8 (ведомст.)'!G151</f>
        <v>0</v>
      </c>
    </row>
    <row r="143" spans="1:5" s="56" customFormat="1" ht="33">
      <c r="A143" s="33" t="s">
        <v>267</v>
      </c>
      <c r="B143" s="33"/>
      <c r="C143" s="34" t="s">
        <v>204</v>
      </c>
      <c r="D143" s="52">
        <f>D146+D148+D150+D152+D156+D160+D158+D154+D144</f>
        <v>17943.7</v>
      </c>
      <c r="E143" s="52">
        <f>E146+E148+E150+E152+E156+E160+E158+E154+E144</f>
        <v>17244.4</v>
      </c>
    </row>
    <row r="144" spans="1:5" s="56" customFormat="1" ht="33">
      <c r="A144" s="9" t="s">
        <v>508</v>
      </c>
      <c r="B144" s="9"/>
      <c r="C144" s="41" t="s">
        <v>509</v>
      </c>
      <c r="D144" s="42">
        <f>D145</f>
        <v>255.1</v>
      </c>
      <c r="E144" s="42">
        <f>E145</f>
        <v>195.2</v>
      </c>
    </row>
    <row r="145" spans="1:5" s="56" customFormat="1" ht="12.75">
      <c r="A145" s="9" t="s">
        <v>508</v>
      </c>
      <c r="B145" s="9" t="s">
        <v>37</v>
      </c>
      <c r="C145" s="41" t="s">
        <v>125</v>
      </c>
      <c r="D145" s="42">
        <f>'№8 (ведомст.)'!F159</f>
        <v>255.1</v>
      </c>
      <c r="E145" s="42">
        <f>'№8 (ведомст.)'!G159</f>
        <v>195.2</v>
      </c>
    </row>
    <row r="146" spans="1:5" ht="12.75">
      <c r="A146" s="9" t="s">
        <v>287</v>
      </c>
      <c r="B146" s="9"/>
      <c r="C146" s="41" t="s">
        <v>205</v>
      </c>
      <c r="D146" s="42">
        <f>D147</f>
        <v>12662.6</v>
      </c>
      <c r="E146" s="42">
        <f>E147</f>
        <v>12023.2</v>
      </c>
    </row>
    <row r="147" spans="1:5" ht="12.75">
      <c r="A147" s="9" t="s">
        <v>287</v>
      </c>
      <c r="B147" s="9" t="s">
        <v>37</v>
      </c>
      <c r="C147" s="41" t="s">
        <v>125</v>
      </c>
      <c r="D147" s="42">
        <f>'№8 (ведомст.)'!F160</f>
        <v>12662.6</v>
      </c>
      <c r="E147" s="42">
        <f>'№8 (ведомст.)'!G160</f>
        <v>12023.2</v>
      </c>
    </row>
    <row r="148" spans="1:5" ht="12.75">
      <c r="A148" s="9" t="s">
        <v>288</v>
      </c>
      <c r="B148" s="9"/>
      <c r="C148" s="41" t="s">
        <v>206</v>
      </c>
      <c r="D148" s="42">
        <f>D149</f>
        <v>809.0999999999999</v>
      </c>
      <c r="E148" s="42">
        <f>E149</f>
        <v>809.1</v>
      </c>
    </row>
    <row r="149" spans="1:5" ht="12.75">
      <c r="A149" s="9" t="s">
        <v>288</v>
      </c>
      <c r="B149" s="9" t="s">
        <v>37</v>
      </c>
      <c r="C149" s="41" t="s">
        <v>125</v>
      </c>
      <c r="D149" s="42">
        <f>'№8 (ведомст.)'!F162</f>
        <v>809.0999999999999</v>
      </c>
      <c r="E149" s="42">
        <f>'№8 (ведомст.)'!G162</f>
        <v>809.1</v>
      </c>
    </row>
    <row r="150" spans="1:5" ht="12.75">
      <c r="A150" s="9" t="s">
        <v>289</v>
      </c>
      <c r="B150" s="9"/>
      <c r="C150" s="41" t="s">
        <v>207</v>
      </c>
      <c r="D150" s="42">
        <f>D151</f>
        <v>3282.9</v>
      </c>
      <c r="E150" s="42">
        <f>E151</f>
        <v>3282.9</v>
      </c>
    </row>
    <row r="151" spans="1:5" ht="12.75">
      <c r="A151" s="9" t="s">
        <v>289</v>
      </c>
      <c r="B151" s="9" t="s">
        <v>37</v>
      </c>
      <c r="C151" s="41" t="s">
        <v>125</v>
      </c>
      <c r="D151" s="42">
        <f>'№8 (ведомст.)'!F164</f>
        <v>3282.9</v>
      </c>
      <c r="E151" s="42">
        <f>'№8 (ведомст.)'!G164</f>
        <v>3282.9</v>
      </c>
    </row>
    <row r="152" spans="1:5" ht="12.75">
      <c r="A152" s="9" t="s">
        <v>290</v>
      </c>
      <c r="B152" s="9"/>
      <c r="C152" s="41" t="s">
        <v>208</v>
      </c>
      <c r="D152" s="42">
        <f>D153</f>
        <v>123.7</v>
      </c>
      <c r="E152" s="42">
        <f>E153</f>
        <v>123.7</v>
      </c>
    </row>
    <row r="153" spans="1:5" ht="12.75">
      <c r="A153" s="9" t="s">
        <v>290</v>
      </c>
      <c r="B153" s="9" t="s">
        <v>37</v>
      </c>
      <c r="C153" s="41" t="s">
        <v>125</v>
      </c>
      <c r="D153" s="42">
        <f>'№8 (ведомст.)'!F166</f>
        <v>123.7</v>
      </c>
      <c r="E153" s="42">
        <f>'№8 (ведомст.)'!G166</f>
        <v>123.7</v>
      </c>
    </row>
    <row r="154" spans="1:5" ht="33">
      <c r="A154" s="9" t="s">
        <v>482</v>
      </c>
      <c r="B154" s="9"/>
      <c r="C154" s="41" t="s">
        <v>483</v>
      </c>
      <c r="D154" s="42">
        <f>D155</f>
        <v>105.6</v>
      </c>
      <c r="E154" s="42">
        <f>E155</f>
        <v>105.6</v>
      </c>
    </row>
    <row r="155" spans="1:5" ht="12.75">
      <c r="A155" s="9" t="s">
        <v>482</v>
      </c>
      <c r="B155" s="9" t="s">
        <v>37</v>
      </c>
      <c r="C155" s="41" t="s">
        <v>125</v>
      </c>
      <c r="D155" s="42">
        <f>'№8 (ведомст.)'!F168</f>
        <v>105.6</v>
      </c>
      <c r="E155" s="42">
        <f>'№8 (ведомст.)'!G168</f>
        <v>105.6</v>
      </c>
    </row>
    <row r="156" spans="1:5" ht="12.75">
      <c r="A156" s="9" t="s">
        <v>361</v>
      </c>
      <c r="B156" s="9"/>
      <c r="C156" s="41" t="s">
        <v>209</v>
      </c>
      <c r="D156" s="42">
        <f>D157</f>
        <v>197.3</v>
      </c>
      <c r="E156" s="42">
        <f>E157</f>
        <v>197.3</v>
      </c>
    </row>
    <row r="157" spans="1:5" ht="12.75">
      <c r="A157" s="9" t="s">
        <v>361</v>
      </c>
      <c r="B157" s="9" t="s">
        <v>37</v>
      </c>
      <c r="C157" s="41" t="s">
        <v>125</v>
      </c>
      <c r="D157" s="42">
        <f>'№8 (ведомст.)'!F171</f>
        <v>197.3</v>
      </c>
      <c r="E157" s="42">
        <f>'№8 (ведомст.)'!G171</f>
        <v>197.3</v>
      </c>
    </row>
    <row r="158" spans="1:5" ht="82.5">
      <c r="A158" s="12" t="s">
        <v>268</v>
      </c>
      <c r="B158" s="9"/>
      <c r="C158" s="41" t="s">
        <v>213</v>
      </c>
      <c r="D158" s="42">
        <f>D159</f>
        <v>250.9</v>
      </c>
      <c r="E158" s="42">
        <f>E159</f>
        <v>250.9</v>
      </c>
    </row>
    <row r="159" spans="1:5" ht="12.75">
      <c r="A159" s="12" t="s">
        <v>268</v>
      </c>
      <c r="B159" s="9" t="s">
        <v>37</v>
      </c>
      <c r="C159" s="41" t="s">
        <v>125</v>
      </c>
      <c r="D159" s="42">
        <f>'№8 (ведомст.)'!F92</f>
        <v>250.9</v>
      </c>
      <c r="E159" s="42">
        <f>'№8 (ведомст.)'!G92</f>
        <v>250.9</v>
      </c>
    </row>
    <row r="160" spans="1:5" ht="33">
      <c r="A160" s="9" t="s">
        <v>291</v>
      </c>
      <c r="B160" s="9"/>
      <c r="C160" s="41" t="s">
        <v>210</v>
      </c>
      <c r="D160" s="42">
        <f>D161</f>
        <v>256.5</v>
      </c>
      <c r="E160" s="42">
        <f>E161</f>
        <v>256.5</v>
      </c>
    </row>
    <row r="161" spans="1:5" ht="12.75">
      <c r="A161" s="9" t="s">
        <v>291</v>
      </c>
      <c r="B161" s="9" t="s">
        <v>37</v>
      </c>
      <c r="C161" s="41" t="s">
        <v>125</v>
      </c>
      <c r="D161" s="42">
        <f>'№8 (ведомст.)'!F173</f>
        <v>256.5</v>
      </c>
      <c r="E161" s="42">
        <f>'№8 (ведомст.)'!G173</f>
        <v>256.5</v>
      </c>
    </row>
    <row r="162" spans="1:5" s="56" customFormat="1" ht="49.5">
      <c r="A162" s="33" t="s">
        <v>269</v>
      </c>
      <c r="B162" s="33"/>
      <c r="C162" s="34" t="s">
        <v>192</v>
      </c>
      <c r="D162" s="52">
        <f>D163+D176</f>
        <v>49154.6</v>
      </c>
      <c r="E162" s="52">
        <f>E163+E176</f>
        <v>48962.1</v>
      </c>
    </row>
    <row r="163" spans="1:5" s="56" customFormat="1" ht="33">
      <c r="A163" s="33" t="s">
        <v>270</v>
      </c>
      <c r="B163" s="88"/>
      <c r="C163" s="55" t="s">
        <v>193</v>
      </c>
      <c r="D163" s="52">
        <f>D164+D168+D166+D170+D172+D174</f>
        <v>46795</v>
      </c>
      <c r="E163" s="52">
        <f>E164+E168+E166+E170+E172+E174</f>
        <v>46602.5</v>
      </c>
    </row>
    <row r="164" spans="1:5" ht="49.5">
      <c r="A164" s="12" t="s">
        <v>271</v>
      </c>
      <c r="B164" s="9"/>
      <c r="C164" s="41" t="s">
        <v>194</v>
      </c>
      <c r="D164" s="42">
        <f>D165</f>
        <v>17192.500000000004</v>
      </c>
      <c r="E164" s="42">
        <f>E165</f>
        <v>17192.5</v>
      </c>
    </row>
    <row r="165" spans="1:5" ht="12.75">
      <c r="A165" s="12" t="s">
        <v>271</v>
      </c>
      <c r="B165" s="9" t="s">
        <v>37</v>
      </c>
      <c r="C165" s="41" t="s">
        <v>125</v>
      </c>
      <c r="D165" s="42">
        <f>'№8 (ведомст.)'!F104</f>
        <v>17192.500000000004</v>
      </c>
      <c r="E165" s="42">
        <f>'№8 (ведомст.)'!G104</f>
        <v>17192.5</v>
      </c>
    </row>
    <row r="166" spans="1:5" ht="49.5">
      <c r="A166" s="12" t="s">
        <v>272</v>
      </c>
      <c r="B166" s="44"/>
      <c r="C166" s="10" t="s">
        <v>243</v>
      </c>
      <c r="D166" s="42">
        <f>D167</f>
        <v>2387.5</v>
      </c>
      <c r="E166" s="42">
        <f>E167</f>
        <v>2387.5</v>
      </c>
    </row>
    <row r="167" spans="1:5" ht="12.75">
      <c r="A167" s="12" t="s">
        <v>272</v>
      </c>
      <c r="B167" s="9" t="s">
        <v>37</v>
      </c>
      <c r="C167" s="41" t="s">
        <v>125</v>
      </c>
      <c r="D167" s="42">
        <f>'№8 (ведомст.)'!F107</f>
        <v>2387.5</v>
      </c>
      <c r="E167" s="42">
        <f>'№8 (ведомст.)'!G107</f>
        <v>2387.5</v>
      </c>
    </row>
    <row r="168" spans="1:5" ht="33">
      <c r="A168" s="12" t="s">
        <v>273</v>
      </c>
      <c r="B168" s="44"/>
      <c r="C168" s="10" t="s">
        <v>234</v>
      </c>
      <c r="D168" s="42">
        <f>D169</f>
        <v>12089.199999999999</v>
      </c>
      <c r="E168" s="42">
        <f>E169</f>
        <v>12089.2</v>
      </c>
    </row>
    <row r="169" spans="1:5" ht="12.75">
      <c r="A169" s="12" t="s">
        <v>273</v>
      </c>
      <c r="B169" s="9" t="s">
        <v>37</v>
      </c>
      <c r="C169" s="41" t="s">
        <v>125</v>
      </c>
      <c r="D169" s="42">
        <f>'№8 (ведомст.)'!F109</f>
        <v>12089.199999999999</v>
      </c>
      <c r="E169" s="42">
        <f>'№8 (ведомст.)'!G109</f>
        <v>12089.2</v>
      </c>
    </row>
    <row r="170" spans="1:5" ht="33">
      <c r="A170" s="12" t="s">
        <v>274</v>
      </c>
      <c r="B170" s="44"/>
      <c r="C170" s="10" t="s">
        <v>244</v>
      </c>
      <c r="D170" s="42">
        <f>D171</f>
        <v>4456.3</v>
      </c>
      <c r="E170" s="42">
        <f>E171</f>
        <v>4426.5</v>
      </c>
    </row>
    <row r="171" spans="1:5" ht="12.75">
      <c r="A171" s="12" t="s">
        <v>274</v>
      </c>
      <c r="B171" s="9" t="s">
        <v>37</v>
      </c>
      <c r="C171" s="41" t="s">
        <v>125</v>
      </c>
      <c r="D171" s="42">
        <f>'№8 (ведомст.)'!F111</f>
        <v>4456.3</v>
      </c>
      <c r="E171" s="42">
        <f>'№8 (ведомст.)'!G111</f>
        <v>4426.5</v>
      </c>
    </row>
    <row r="172" spans="1:5" ht="33">
      <c r="A172" s="12" t="s">
        <v>363</v>
      </c>
      <c r="B172" s="44"/>
      <c r="C172" s="10" t="s">
        <v>364</v>
      </c>
      <c r="D172" s="42">
        <f>D173</f>
        <v>10506.8</v>
      </c>
      <c r="E172" s="42">
        <f>E173</f>
        <v>10506.8</v>
      </c>
    </row>
    <row r="173" spans="1:5" ht="12.75">
      <c r="A173" s="12" t="s">
        <v>363</v>
      </c>
      <c r="B173" s="9" t="s">
        <v>37</v>
      </c>
      <c r="C173" s="41" t="s">
        <v>125</v>
      </c>
      <c r="D173" s="42">
        <f>'№8 (ведомст.)'!F115</f>
        <v>10506.8</v>
      </c>
      <c r="E173" s="42">
        <f>'№8 (ведомст.)'!G115</f>
        <v>10506.8</v>
      </c>
    </row>
    <row r="174" spans="1:5" ht="33">
      <c r="A174" s="12" t="s">
        <v>532</v>
      </c>
      <c r="B174" s="44"/>
      <c r="C174" s="10" t="s">
        <v>533</v>
      </c>
      <c r="D174" s="42">
        <f>D175</f>
        <v>162.7</v>
      </c>
      <c r="E174" s="42">
        <f>E175</f>
        <v>0</v>
      </c>
    </row>
    <row r="175" spans="1:5" ht="12.75">
      <c r="A175" s="12" t="s">
        <v>532</v>
      </c>
      <c r="B175" s="9" t="s">
        <v>37</v>
      </c>
      <c r="C175" s="41" t="s">
        <v>125</v>
      </c>
      <c r="D175" s="42">
        <f>'№8 (ведомст.)'!F118</f>
        <v>162.7</v>
      </c>
      <c r="E175" s="42">
        <f>'№8 (ведомст.)'!G118</f>
        <v>0</v>
      </c>
    </row>
    <row r="176" spans="1:5" ht="33">
      <c r="A176" s="33" t="s">
        <v>275</v>
      </c>
      <c r="B176" s="88"/>
      <c r="C176" s="55" t="s">
        <v>241</v>
      </c>
      <c r="D176" s="52">
        <f>D177+D181+D179</f>
        <v>2359.6</v>
      </c>
      <c r="E176" s="52">
        <f>E177+E181+E179</f>
        <v>2359.6</v>
      </c>
    </row>
    <row r="177" spans="1:5" ht="33">
      <c r="A177" s="12" t="s">
        <v>276</v>
      </c>
      <c r="B177" s="44"/>
      <c r="C177" s="10" t="s">
        <v>242</v>
      </c>
      <c r="D177" s="42">
        <f>D178</f>
        <v>2200</v>
      </c>
      <c r="E177" s="42">
        <f>E178</f>
        <v>2200</v>
      </c>
    </row>
    <row r="178" spans="1:5" ht="12.75">
      <c r="A178" s="12" t="s">
        <v>276</v>
      </c>
      <c r="B178" s="9" t="s">
        <v>37</v>
      </c>
      <c r="C178" s="41" t="s">
        <v>125</v>
      </c>
      <c r="D178" s="42">
        <f>'№8 (ведомст.)'!F121</f>
        <v>2200</v>
      </c>
      <c r="E178" s="42">
        <f>'№8 (ведомст.)'!G121</f>
        <v>2200</v>
      </c>
    </row>
    <row r="179" spans="1:5" ht="12.75">
      <c r="A179" s="12" t="s">
        <v>547</v>
      </c>
      <c r="B179" s="44"/>
      <c r="C179" s="10" t="s">
        <v>546</v>
      </c>
      <c r="D179" s="42">
        <f>D180</f>
        <v>135.6</v>
      </c>
      <c r="E179" s="42">
        <f>E180</f>
        <v>135.6</v>
      </c>
    </row>
    <row r="180" spans="1:5" ht="12.75">
      <c r="A180" s="12" t="s">
        <v>547</v>
      </c>
      <c r="B180" s="9" t="s">
        <v>37</v>
      </c>
      <c r="C180" s="41" t="s">
        <v>125</v>
      </c>
      <c r="D180" s="42">
        <f>'№8 (ведомст.)'!F124</f>
        <v>135.6</v>
      </c>
      <c r="E180" s="42">
        <f>'№8 (ведомст.)'!G124</f>
        <v>135.6</v>
      </c>
    </row>
    <row r="181" spans="1:5" ht="49.5">
      <c r="A181" s="12" t="s">
        <v>465</v>
      </c>
      <c r="B181" s="44"/>
      <c r="C181" s="10" t="s">
        <v>466</v>
      </c>
      <c r="D181" s="42">
        <f>D182</f>
        <v>24</v>
      </c>
      <c r="E181" s="42">
        <f>E182</f>
        <v>24</v>
      </c>
    </row>
    <row r="182" spans="1:5" ht="12.75">
      <c r="A182" s="12" t="s">
        <v>465</v>
      </c>
      <c r="B182" s="9" t="s">
        <v>37</v>
      </c>
      <c r="C182" s="41" t="s">
        <v>125</v>
      </c>
      <c r="D182" s="42">
        <f>'№8 (ведомст.)'!F99</f>
        <v>24</v>
      </c>
      <c r="E182" s="42">
        <f>'№8 (ведомст.)'!G99</f>
        <v>24</v>
      </c>
    </row>
    <row r="183" spans="1:5" s="56" customFormat="1" ht="49.5">
      <c r="A183" s="33" t="s">
        <v>277</v>
      </c>
      <c r="B183" s="33"/>
      <c r="C183" s="34" t="s">
        <v>195</v>
      </c>
      <c r="D183" s="52">
        <f>D184+D191</f>
        <v>231.9</v>
      </c>
      <c r="E183" s="52">
        <f>E184+E191</f>
        <v>198.4</v>
      </c>
    </row>
    <row r="184" spans="1:5" s="56" customFormat="1" ht="33">
      <c r="A184" s="33" t="s">
        <v>278</v>
      </c>
      <c r="B184" s="33"/>
      <c r="C184" s="34" t="s">
        <v>196</v>
      </c>
      <c r="D184" s="52">
        <f>D187+D189+D185</f>
        <v>64</v>
      </c>
      <c r="E184" s="52">
        <f>E187+E189+E185</f>
        <v>64</v>
      </c>
    </row>
    <row r="185" spans="1:5" s="56" customFormat="1" ht="33">
      <c r="A185" s="9" t="s">
        <v>554</v>
      </c>
      <c r="B185" s="9"/>
      <c r="C185" s="10" t="s">
        <v>555</v>
      </c>
      <c r="D185" s="42">
        <f>D186</f>
        <v>32</v>
      </c>
      <c r="E185" s="42">
        <f>E186</f>
        <v>32</v>
      </c>
    </row>
    <row r="186" spans="1:5" s="56" customFormat="1" ht="12.75">
      <c r="A186" s="9" t="s">
        <v>554</v>
      </c>
      <c r="B186" s="9" t="s">
        <v>37</v>
      </c>
      <c r="C186" s="41" t="s">
        <v>125</v>
      </c>
      <c r="D186" s="42">
        <f>'№8 (ведомст.)'!F133</f>
        <v>32</v>
      </c>
      <c r="E186" s="42">
        <f>'№8 (ведомст.)'!G133</f>
        <v>32</v>
      </c>
    </row>
    <row r="187" spans="1:5" ht="33">
      <c r="A187" s="9" t="s">
        <v>279</v>
      </c>
      <c r="B187" s="9"/>
      <c r="C187" s="41" t="s">
        <v>197</v>
      </c>
      <c r="D187" s="42">
        <f>D188</f>
        <v>20</v>
      </c>
      <c r="E187" s="42">
        <f>E188</f>
        <v>20</v>
      </c>
    </row>
    <row r="188" spans="1:5" ht="12.75">
      <c r="A188" s="9" t="s">
        <v>279</v>
      </c>
      <c r="B188" s="9" t="s">
        <v>37</v>
      </c>
      <c r="C188" s="41" t="s">
        <v>125</v>
      </c>
      <c r="D188" s="42">
        <f>'№8 (ведомст.)'!F130</f>
        <v>20</v>
      </c>
      <c r="E188" s="42">
        <f>'№8 (ведомст.)'!G130</f>
        <v>20</v>
      </c>
    </row>
    <row r="189" spans="1:5" ht="82.5">
      <c r="A189" s="9" t="s">
        <v>280</v>
      </c>
      <c r="B189" s="9"/>
      <c r="C189" s="41" t="s">
        <v>233</v>
      </c>
      <c r="D189" s="42">
        <f>D190</f>
        <v>12</v>
      </c>
      <c r="E189" s="42">
        <f>E190</f>
        <v>12</v>
      </c>
    </row>
    <row r="190" spans="1:5" ht="12.75">
      <c r="A190" s="9" t="s">
        <v>280</v>
      </c>
      <c r="B190" s="9" t="s">
        <v>37</v>
      </c>
      <c r="C190" s="41" t="s">
        <v>125</v>
      </c>
      <c r="D190" s="42">
        <f>'№8 (ведомст.)'!F135</f>
        <v>12</v>
      </c>
      <c r="E190" s="42">
        <f>'№8 (ведомст.)'!G135</f>
        <v>12</v>
      </c>
    </row>
    <row r="191" spans="1:5" s="56" customFormat="1" ht="33">
      <c r="A191" s="33" t="s">
        <v>281</v>
      </c>
      <c r="B191" s="33"/>
      <c r="C191" s="34" t="s">
        <v>198</v>
      </c>
      <c r="D191" s="52">
        <f>D192+D194</f>
        <v>167.9</v>
      </c>
      <c r="E191" s="52">
        <f>E192+E194</f>
        <v>134.4</v>
      </c>
    </row>
    <row r="192" spans="1:5" ht="33">
      <c r="A192" s="9" t="s">
        <v>282</v>
      </c>
      <c r="B192" s="9"/>
      <c r="C192" s="41" t="s">
        <v>199</v>
      </c>
      <c r="D192" s="42">
        <f>D193</f>
        <v>3.5</v>
      </c>
      <c r="E192" s="42">
        <f>E193</f>
        <v>3.5</v>
      </c>
    </row>
    <row r="193" spans="1:5" ht="12.75">
      <c r="A193" s="9" t="s">
        <v>282</v>
      </c>
      <c r="B193" s="9" t="s">
        <v>37</v>
      </c>
      <c r="C193" s="41" t="s">
        <v>125</v>
      </c>
      <c r="D193" s="42">
        <f>'№8 (ведомст.)'!F138</f>
        <v>3.5</v>
      </c>
      <c r="E193" s="42">
        <f>'№8 (ведомст.)'!G138</f>
        <v>3.5</v>
      </c>
    </row>
    <row r="194" spans="1:5" ht="33">
      <c r="A194" s="9" t="s">
        <v>283</v>
      </c>
      <c r="B194" s="9"/>
      <c r="C194" s="41" t="s">
        <v>200</v>
      </c>
      <c r="D194" s="42">
        <f>D195</f>
        <v>164.4</v>
      </c>
      <c r="E194" s="42">
        <f>E195</f>
        <v>130.9</v>
      </c>
    </row>
    <row r="195" spans="1:5" ht="12.75">
      <c r="A195" s="9" t="s">
        <v>283</v>
      </c>
      <c r="B195" s="9" t="s">
        <v>37</v>
      </c>
      <c r="C195" s="41" t="s">
        <v>125</v>
      </c>
      <c r="D195" s="42">
        <f>'№8 (ведомст.)'!F140</f>
        <v>164.4</v>
      </c>
      <c r="E195" s="42">
        <f>'№8 (ведомст.)'!G140</f>
        <v>130.9</v>
      </c>
    </row>
    <row r="196" spans="1:5" s="56" customFormat="1" ht="49.5">
      <c r="A196" s="33" t="s">
        <v>248</v>
      </c>
      <c r="B196" s="33"/>
      <c r="C196" s="34" t="s">
        <v>229</v>
      </c>
      <c r="D196" s="52">
        <f>D197+D206+D211+D214+D227+D234</f>
        <v>53746.9</v>
      </c>
      <c r="E196" s="52">
        <f>E197+E206+E211+E214+E227+E234</f>
        <v>52674.399999999994</v>
      </c>
    </row>
    <row r="197" spans="1:5" s="56" customFormat="1" ht="49.5">
      <c r="A197" s="33" t="s">
        <v>254</v>
      </c>
      <c r="B197" s="33"/>
      <c r="C197" s="34" t="s">
        <v>13</v>
      </c>
      <c r="D197" s="52">
        <f>D198+D202+D200+D204</f>
        <v>2841.5</v>
      </c>
      <c r="E197" s="52">
        <f>E198+E202+E200+E204</f>
        <v>2019.2</v>
      </c>
    </row>
    <row r="198" spans="1:5" ht="33">
      <c r="A198" s="12" t="s">
        <v>256</v>
      </c>
      <c r="B198" s="9"/>
      <c r="C198" s="41" t="s">
        <v>186</v>
      </c>
      <c r="D198" s="42">
        <f>D199</f>
        <v>529</v>
      </c>
      <c r="E198" s="42">
        <f>E199</f>
        <v>483.9</v>
      </c>
    </row>
    <row r="199" spans="1:5" ht="12.75">
      <c r="A199" s="12" t="s">
        <v>256</v>
      </c>
      <c r="B199" s="9" t="s">
        <v>37</v>
      </c>
      <c r="C199" s="41" t="s">
        <v>125</v>
      </c>
      <c r="D199" s="42">
        <f>'№8 (ведомст.)'!F40</f>
        <v>529</v>
      </c>
      <c r="E199" s="42">
        <f>'№8 (ведомст.)'!G40</f>
        <v>483.9</v>
      </c>
    </row>
    <row r="200" spans="1:5" ht="33">
      <c r="A200" s="12" t="s">
        <v>467</v>
      </c>
      <c r="B200" s="44"/>
      <c r="C200" s="10" t="s">
        <v>468</v>
      </c>
      <c r="D200" s="42">
        <f>D201</f>
        <v>655.5999999999999</v>
      </c>
      <c r="E200" s="42">
        <f>E201</f>
        <v>257.9</v>
      </c>
    </row>
    <row r="201" spans="1:5" ht="12.75">
      <c r="A201" s="12" t="s">
        <v>467</v>
      </c>
      <c r="B201" s="9" t="s">
        <v>37</v>
      </c>
      <c r="C201" s="41" t="s">
        <v>125</v>
      </c>
      <c r="D201" s="42">
        <f>'№8 (ведомст.)'!F43</f>
        <v>655.5999999999999</v>
      </c>
      <c r="E201" s="42">
        <f>'№8 (ведомст.)'!G43</f>
        <v>257.9</v>
      </c>
    </row>
    <row r="202" spans="1:5" ht="49.5">
      <c r="A202" s="9" t="s">
        <v>255</v>
      </c>
      <c r="B202" s="9"/>
      <c r="C202" s="41" t="s">
        <v>368</v>
      </c>
      <c r="D202" s="42">
        <f>D203</f>
        <v>42.8</v>
      </c>
      <c r="E202" s="42">
        <f>E203</f>
        <v>0</v>
      </c>
    </row>
    <row r="203" spans="1:5" ht="12.75">
      <c r="A203" s="9" t="s">
        <v>255</v>
      </c>
      <c r="B203" s="9" t="s">
        <v>37</v>
      </c>
      <c r="C203" s="41" t="s">
        <v>125</v>
      </c>
      <c r="D203" s="42">
        <f>'№8 (ведомст.)'!F34</f>
        <v>42.8</v>
      </c>
      <c r="E203" s="42">
        <f>'№8 (ведомст.)'!G34</f>
        <v>0</v>
      </c>
    </row>
    <row r="204" spans="1:5" ht="66">
      <c r="A204" s="12" t="s">
        <v>484</v>
      </c>
      <c r="B204" s="44"/>
      <c r="C204" s="10" t="s">
        <v>485</v>
      </c>
      <c r="D204" s="42">
        <f>D205</f>
        <v>1614.1</v>
      </c>
      <c r="E204" s="42">
        <f>E205</f>
        <v>1277.4</v>
      </c>
    </row>
    <row r="205" spans="1:5" ht="12.75">
      <c r="A205" s="12" t="s">
        <v>484</v>
      </c>
      <c r="B205" s="9" t="s">
        <v>37</v>
      </c>
      <c r="C205" s="41" t="s">
        <v>125</v>
      </c>
      <c r="D205" s="42">
        <f>'№8 (ведомст.)'!F45</f>
        <v>1614.1</v>
      </c>
      <c r="E205" s="42">
        <f>'№8 (ведомст.)'!G45</f>
        <v>1277.4</v>
      </c>
    </row>
    <row r="206" spans="1:5" s="56" customFormat="1" ht="82.5">
      <c r="A206" s="33" t="s">
        <v>257</v>
      </c>
      <c r="B206" s="33"/>
      <c r="C206" s="34" t="s">
        <v>187</v>
      </c>
      <c r="D206" s="52">
        <f>D207+D209</f>
        <v>75</v>
      </c>
      <c r="E206" s="52">
        <f>E207+E209</f>
        <v>75</v>
      </c>
    </row>
    <row r="207" spans="1:5" ht="33">
      <c r="A207" s="12" t="s">
        <v>258</v>
      </c>
      <c r="B207" s="9"/>
      <c r="C207" s="41" t="s">
        <v>188</v>
      </c>
      <c r="D207" s="42">
        <f>D208</f>
        <v>50</v>
      </c>
      <c r="E207" s="42">
        <f>E208</f>
        <v>50</v>
      </c>
    </row>
    <row r="208" spans="1:5" ht="12.75">
      <c r="A208" s="12" t="s">
        <v>258</v>
      </c>
      <c r="B208" s="9" t="s">
        <v>37</v>
      </c>
      <c r="C208" s="41" t="s">
        <v>125</v>
      </c>
      <c r="D208" s="42">
        <f>'№8 (ведомст.)'!F48</f>
        <v>50</v>
      </c>
      <c r="E208" s="42">
        <f>'№8 (ведомст.)'!G48</f>
        <v>50</v>
      </c>
    </row>
    <row r="209" spans="1:5" ht="49.5">
      <c r="A209" s="12" t="s">
        <v>259</v>
      </c>
      <c r="B209" s="9"/>
      <c r="C209" s="41" t="s">
        <v>189</v>
      </c>
      <c r="D209" s="42">
        <f>D210</f>
        <v>25</v>
      </c>
      <c r="E209" s="42">
        <f>E210</f>
        <v>25</v>
      </c>
    </row>
    <row r="210" spans="1:5" ht="12.75">
      <c r="A210" s="12" t="s">
        <v>259</v>
      </c>
      <c r="B210" s="9" t="s">
        <v>37</v>
      </c>
      <c r="C210" s="41" t="s">
        <v>125</v>
      </c>
      <c r="D210" s="42">
        <f>'№8 (ведомст.)'!F51</f>
        <v>25</v>
      </c>
      <c r="E210" s="42">
        <f>'№8 (ведомст.)'!G51</f>
        <v>25</v>
      </c>
    </row>
    <row r="211" spans="1:5" s="56" customFormat="1" ht="33">
      <c r="A211" s="33" t="s">
        <v>264</v>
      </c>
      <c r="B211" s="33"/>
      <c r="C211" s="34" t="s">
        <v>190</v>
      </c>
      <c r="D211" s="52">
        <f aca="true" t="shared" si="2" ref="D211:E212">D212</f>
        <v>6406.9</v>
      </c>
      <c r="E211" s="52">
        <f t="shared" si="2"/>
        <v>6406.9</v>
      </c>
    </row>
    <row r="212" spans="1:5" ht="33">
      <c r="A212" s="12" t="s">
        <v>265</v>
      </c>
      <c r="B212" s="9"/>
      <c r="C212" s="41" t="s">
        <v>191</v>
      </c>
      <c r="D212" s="42">
        <f t="shared" si="2"/>
        <v>6406.9</v>
      </c>
      <c r="E212" s="42">
        <f t="shared" si="2"/>
        <v>6406.9</v>
      </c>
    </row>
    <row r="213" spans="1:5" ht="33">
      <c r="A213" s="12" t="s">
        <v>265</v>
      </c>
      <c r="B213" s="9" t="s">
        <v>37</v>
      </c>
      <c r="C213" s="41" t="s">
        <v>125</v>
      </c>
      <c r="D213" s="42">
        <f>'№8 (ведомст.)'!F85</f>
        <v>6406.9</v>
      </c>
      <c r="E213" s="42">
        <f>'№8 (ведомст.)'!G85</f>
        <v>6406.9</v>
      </c>
    </row>
    <row r="214" spans="1:5" s="56" customFormat="1" ht="49.5">
      <c r="A214" s="33" t="s">
        <v>260</v>
      </c>
      <c r="B214" s="33"/>
      <c r="C214" s="34" t="s">
        <v>183</v>
      </c>
      <c r="D214" s="52">
        <f>D223+D225+D215+D217+D219+D221</f>
        <v>2933.7</v>
      </c>
      <c r="E214" s="52">
        <f>E223+E225+E215+E217+E219+E221</f>
        <v>2933.7</v>
      </c>
    </row>
    <row r="215" spans="1:5" s="56" customFormat="1" ht="74.45" customHeight="1">
      <c r="A215" s="12" t="s">
        <v>304</v>
      </c>
      <c r="B215" s="16"/>
      <c r="C215" s="10" t="s">
        <v>230</v>
      </c>
      <c r="D215" s="42">
        <f>D216</f>
        <v>924</v>
      </c>
      <c r="E215" s="42">
        <f>E216</f>
        <v>924</v>
      </c>
    </row>
    <row r="216" spans="1:5" s="56" customFormat="1" ht="12.75">
      <c r="A216" s="12" t="s">
        <v>304</v>
      </c>
      <c r="B216" s="9" t="s">
        <v>37</v>
      </c>
      <c r="C216" s="41" t="s">
        <v>125</v>
      </c>
      <c r="D216" s="42">
        <f>'№8 (ведомст.)'!F246</f>
        <v>924</v>
      </c>
      <c r="E216" s="42">
        <f>'№8 (ведомст.)'!G246</f>
        <v>924</v>
      </c>
    </row>
    <row r="217" spans="1:5" s="56" customFormat="1" ht="66">
      <c r="A217" s="12" t="s">
        <v>305</v>
      </c>
      <c r="B217" s="16"/>
      <c r="C217" s="10" t="s">
        <v>231</v>
      </c>
      <c r="D217" s="42">
        <f>D218</f>
        <v>480</v>
      </c>
      <c r="E217" s="42">
        <f>E218</f>
        <v>480</v>
      </c>
    </row>
    <row r="218" spans="1:5" s="56" customFormat="1" ht="12.75">
      <c r="A218" s="12" t="s">
        <v>305</v>
      </c>
      <c r="B218" s="9" t="s">
        <v>37</v>
      </c>
      <c r="C218" s="41" t="s">
        <v>125</v>
      </c>
      <c r="D218" s="42">
        <f>'№8 (ведомст.)'!F247</f>
        <v>480</v>
      </c>
      <c r="E218" s="42">
        <f>'№8 (ведомст.)'!G247</f>
        <v>480</v>
      </c>
    </row>
    <row r="219" spans="1:5" s="56" customFormat="1" ht="66">
      <c r="A219" s="12" t="s">
        <v>316</v>
      </c>
      <c r="B219" s="16"/>
      <c r="C219" s="10" t="s">
        <v>232</v>
      </c>
      <c r="D219" s="42">
        <f>D220</f>
        <v>624</v>
      </c>
      <c r="E219" s="42">
        <f>E220</f>
        <v>624</v>
      </c>
    </row>
    <row r="220" spans="1:5" s="56" customFormat="1" ht="12.75">
      <c r="A220" s="12" t="s">
        <v>316</v>
      </c>
      <c r="B220" s="9" t="s">
        <v>37</v>
      </c>
      <c r="C220" s="41" t="s">
        <v>125</v>
      </c>
      <c r="D220" s="42">
        <f>'№8 (ведомст.)'!F249</f>
        <v>624</v>
      </c>
      <c r="E220" s="42">
        <f>'№8 (ведомст.)'!G249</f>
        <v>624</v>
      </c>
    </row>
    <row r="221" spans="1:5" s="56" customFormat="1" ht="66">
      <c r="A221" s="12" t="s">
        <v>492</v>
      </c>
      <c r="B221" s="16"/>
      <c r="C221" s="10" t="s">
        <v>494</v>
      </c>
      <c r="D221" s="42">
        <f>D222</f>
        <v>477.6</v>
      </c>
      <c r="E221" s="42">
        <f>E222</f>
        <v>477.6</v>
      </c>
    </row>
    <row r="222" spans="1:5" s="56" customFormat="1" ht="12.75">
      <c r="A222" s="12" t="s">
        <v>492</v>
      </c>
      <c r="B222" s="9" t="s">
        <v>37</v>
      </c>
      <c r="C222" s="41" t="s">
        <v>125</v>
      </c>
      <c r="D222" s="42">
        <f>'№8 (ведомст.)'!F251</f>
        <v>477.6</v>
      </c>
      <c r="E222" s="42">
        <f>'№8 (ведомст.)'!G251</f>
        <v>477.6</v>
      </c>
    </row>
    <row r="223" spans="1:5" ht="33">
      <c r="A223" s="12" t="s">
        <v>261</v>
      </c>
      <c r="B223" s="9"/>
      <c r="C223" s="41" t="s">
        <v>185</v>
      </c>
      <c r="D223" s="42">
        <f>D224</f>
        <v>51.6</v>
      </c>
      <c r="E223" s="42">
        <f>E224</f>
        <v>51.6</v>
      </c>
    </row>
    <row r="224" spans="1:5" ht="12.75">
      <c r="A224" s="12" t="s">
        <v>261</v>
      </c>
      <c r="B224" s="9" t="s">
        <v>37</v>
      </c>
      <c r="C224" s="41" t="s">
        <v>125</v>
      </c>
      <c r="D224" s="42">
        <f>'№8 (ведомст.)'!F55</f>
        <v>51.6</v>
      </c>
      <c r="E224" s="42">
        <f>'№8 (ведомст.)'!G55</f>
        <v>51.6</v>
      </c>
    </row>
    <row r="225" spans="1:5" ht="33">
      <c r="A225" s="12" t="s">
        <v>301</v>
      </c>
      <c r="B225" s="9"/>
      <c r="C225" s="41" t="s">
        <v>184</v>
      </c>
      <c r="D225" s="42">
        <f>D226</f>
        <v>376.5</v>
      </c>
      <c r="E225" s="42">
        <f>E226</f>
        <v>376.5</v>
      </c>
    </row>
    <row r="226" spans="1:5" ht="12.75">
      <c r="A226" s="12" t="s">
        <v>301</v>
      </c>
      <c r="B226" s="9" t="s">
        <v>37</v>
      </c>
      <c r="C226" s="41" t="s">
        <v>125</v>
      </c>
      <c r="D226" s="42">
        <f>'№8 (ведомст.)'!F230</f>
        <v>376.5</v>
      </c>
      <c r="E226" s="42">
        <f>'№8 (ведомст.)'!G230</f>
        <v>376.5</v>
      </c>
    </row>
    <row r="227" spans="1:5" s="56" customFormat="1" ht="12.75">
      <c r="A227" s="33" t="s">
        <v>299</v>
      </c>
      <c r="B227" s="33"/>
      <c r="C227" s="34" t="s">
        <v>181</v>
      </c>
      <c r="D227" s="52">
        <f>D228+D230+D232</f>
        <v>1564.1000000000001</v>
      </c>
      <c r="E227" s="52">
        <f>E228+E230+E232</f>
        <v>1560.3</v>
      </c>
    </row>
    <row r="228" spans="1:5" s="56" customFormat="1" ht="49.5">
      <c r="A228" s="9" t="s">
        <v>300</v>
      </c>
      <c r="B228" s="9"/>
      <c r="C228" s="41" t="s">
        <v>106</v>
      </c>
      <c r="D228" s="42">
        <f>D229</f>
        <v>1410.8000000000002</v>
      </c>
      <c r="E228" s="42">
        <f>E229</f>
        <v>1410.8</v>
      </c>
    </row>
    <row r="229" spans="1:5" s="56" customFormat="1" ht="12.75">
      <c r="A229" s="9" t="s">
        <v>300</v>
      </c>
      <c r="B229" s="9" t="s">
        <v>37</v>
      </c>
      <c r="C229" s="41" t="s">
        <v>125</v>
      </c>
      <c r="D229" s="42">
        <f>'№8 (ведомст.)'!F224</f>
        <v>1410.8000000000002</v>
      </c>
      <c r="E229" s="42">
        <f>'№8 (ведомст.)'!G224</f>
        <v>1410.8</v>
      </c>
    </row>
    <row r="230" spans="1:5" s="56" customFormat="1" ht="33">
      <c r="A230" s="32" t="s">
        <v>303</v>
      </c>
      <c r="B230" s="9"/>
      <c r="C230" s="41" t="s">
        <v>182</v>
      </c>
      <c r="D230" s="42">
        <f>D231</f>
        <v>90.5</v>
      </c>
      <c r="E230" s="42">
        <f>E231</f>
        <v>86.69999999999999</v>
      </c>
    </row>
    <row r="231" spans="1:5" s="56" customFormat="1" ht="12.75">
      <c r="A231" s="32" t="s">
        <v>303</v>
      </c>
      <c r="B231" s="9" t="s">
        <v>37</v>
      </c>
      <c r="C231" s="41" t="s">
        <v>125</v>
      </c>
      <c r="D231" s="42">
        <f>'№8 (ведомст.)'!F234</f>
        <v>90.5</v>
      </c>
      <c r="E231" s="42">
        <f>'№8 (ведомст.)'!G234</f>
        <v>86.69999999999999</v>
      </c>
    </row>
    <row r="232" spans="1:5" ht="12.75">
      <c r="A232" s="12" t="s">
        <v>302</v>
      </c>
      <c r="B232" s="16"/>
      <c r="C232" s="10" t="s">
        <v>240</v>
      </c>
      <c r="D232" s="42">
        <f>D233</f>
        <v>62.80000000000001</v>
      </c>
      <c r="E232" s="42">
        <f>E233</f>
        <v>62.8</v>
      </c>
    </row>
    <row r="233" spans="1:5" ht="12.75">
      <c r="A233" s="12" t="s">
        <v>302</v>
      </c>
      <c r="B233" s="9" t="s">
        <v>37</v>
      </c>
      <c r="C233" s="41" t="s">
        <v>125</v>
      </c>
      <c r="D233" s="42">
        <f>'№8 (ведомст.)'!F238</f>
        <v>62.80000000000001</v>
      </c>
      <c r="E233" s="42">
        <f>'№8 (ведомст.)'!G238</f>
        <v>62.8</v>
      </c>
    </row>
    <row r="234" spans="1:5" s="56" customFormat="1" ht="12.75">
      <c r="A234" s="33" t="s">
        <v>249</v>
      </c>
      <c r="B234" s="33"/>
      <c r="C234" s="34" t="s">
        <v>5</v>
      </c>
      <c r="D234" s="52">
        <f>D241+D243+D245+D247+D237+D235+D239</f>
        <v>39925.700000000004</v>
      </c>
      <c r="E234" s="52">
        <f>E241+E243+E245+E247+E237+E235+E239</f>
        <v>39679.299999999996</v>
      </c>
    </row>
    <row r="235" spans="1:5" s="56" customFormat="1" ht="49.5">
      <c r="A235" s="9" t="s">
        <v>253</v>
      </c>
      <c r="B235" s="9"/>
      <c r="C235" s="41" t="s">
        <v>371</v>
      </c>
      <c r="D235" s="42">
        <f>D236</f>
        <v>650</v>
      </c>
      <c r="E235" s="42">
        <f>E236</f>
        <v>650</v>
      </c>
    </row>
    <row r="236" spans="1:5" s="56" customFormat="1" ht="12.75">
      <c r="A236" s="9" t="s">
        <v>253</v>
      </c>
      <c r="B236" s="9" t="s">
        <v>37</v>
      </c>
      <c r="C236" s="41" t="s">
        <v>125</v>
      </c>
      <c r="D236" s="42">
        <f>'№8 (ведомст.)'!F27</f>
        <v>650</v>
      </c>
      <c r="E236" s="42">
        <f>'№8 (ведомст.)'!G27</f>
        <v>650</v>
      </c>
    </row>
    <row r="237" spans="1:5" s="56" customFormat="1" ht="66">
      <c r="A237" s="12" t="s">
        <v>262</v>
      </c>
      <c r="B237" s="9"/>
      <c r="C237" s="41" t="s">
        <v>228</v>
      </c>
      <c r="D237" s="42">
        <f>D238</f>
        <v>264</v>
      </c>
      <c r="E237" s="42">
        <f>E238</f>
        <v>260.3</v>
      </c>
    </row>
    <row r="238" spans="1:5" s="56" customFormat="1" ht="12.75">
      <c r="A238" s="12" t="s">
        <v>262</v>
      </c>
      <c r="B238" s="9" t="s">
        <v>37</v>
      </c>
      <c r="C238" s="41" t="s">
        <v>125</v>
      </c>
      <c r="D238" s="42">
        <f>'№8 (ведомст.)'!F62</f>
        <v>264</v>
      </c>
      <c r="E238" s="42">
        <f>'№8 (ведомст.)'!G62</f>
        <v>260.3</v>
      </c>
    </row>
    <row r="239" spans="1:5" s="56" customFormat="1" ht="66">
      <c r="A239" s="12" t="s">
        <v>548</v>
      </c>
      <c r="B239" s="44"/>
      <c r="C239" s="30" t="s">
        <v>549</v>
      </c>
      <c r="D239" s="42">
        <f>D240</f>
        <v>1.9</v>
      </c>
      <c r="E239" s="42">
        <f>E240</f>
        <v>0.7</v>
      </c>
    </row>
    <row r="240" spans="1:5" s="56" customFormat="1" ht="12.75">
      <c r="A240" s="12" t="s">
        <v>548</v>
      </c>
      <c r="B240" s="9" t="s">
        <v>37</v>
      </c>
      <c r="C240" s="41" t="s">
        <v>125</v>
      </c>
      <c r="D240" s="42">
        <f>'№8 (ведомст.)'!F65</f>
        <v>1.9</v>
      </c>
      <c r="E240" s="42">
        <f>'№8 (ведомст.)'!G65</f>
        <v>0.7</v>
      </c>
    </row>
    <row r="241" spans="1:5" ht="12.75">
      <c r="A241" s="12" t="s">
        <v>250</v>
      </c>
      <c r="B241" s="9"/>
      <c r="C241" s="41" t="s">
        <v>55</v>
      </c>
      <c r="D241" s="42">
        <f>D242</f>
        <v>1757</v>
      </c>
      <c r="E241" s="42">
        <f>E242</f>
        <v>1604.4</v>
      </c>
    </row>
    <row r="242" spans="1:5" ht="12.75">
      <c r="A242" s="12" t="s">
        <v>250</v>
      </c>
      <c r="B242" s="9" t="s">
        <v>37</v>
      </c>
      <c r="C242" s="41" t="s">
        <v>125</v>
      </c>
      <c r="D242" s="42">
        <f>'№8 (ведомст.)'!F15</f>
        <v>1757</v>
      </c>
      <c r="E242" s="42">
        <f>'№8 (ведомст.)'!G15</f>
        <v>1604.4</v>
      </c>
    </row>
    <row r="243" spans="1:5" ht="49.5">
      <c r="A243" s="12" t="s">
        <v>251</v>
      </c>
      <c r="B243" s="9"/>
      <c r="C243" s="41" t="s">
        <v>113</v>
      </c>
      <c r="D243" s="42">
        <f>D244</f>
        <v>35792.5</v>
      </c>
      <c r="E243" s="42">
        <f>E244</f>
        <v>35703.899999999994</v>
      </c>
    </row>
    <row r="244" spans="1:5" ht="12.75">
      <c r="A244" s="12" t="s">
        <v>251</v>
      </c>
      <c r="B244" s="9" t="s">
        <v>37</v>
      </c>
      <c r="C244" s="41" t="s">
        <v>125</v>
      </c>
      <c r="D244" s="42">
        <f>'№8 (ведомст.)'!F21</f>
        <v>35792.5</v>
      </c>
      <c r="E244" s="42">
        <f>'№8 (ведомст.)'!G21</f>
        <v>35703.899999999994</v>
      </c>
    </row>
    <row r="245" spans="1:5" ht="49.5">
      <c r="A245" s="12" t="s">
        <v>252</v>
      </c>
      <c r="B245" s="9"/>
      <c r="C245" s="41" t="s">
        <v>114</v>
      </c>
      <c r="D245" s="42">
        <f>D246</f>
        <v>254.29999999999998</v>
      </c>
      <c r="E245" s="42">
        <f>E246</f>
        <v>254</v>
      </c>
    </row>
    <row r="246" spans="1:5" ht="12.75">
      <c r="A246" s="12" t="s">
        <v>252</v>
      </c>
      <c r="B246" s="9" t="s">
        <v>37</v>
      </c>
      <c r="C246" s="41" t="s">
        <v>125</v>
      </c>
      <c r="D246" s="42">
        <f>'№8 (ведомст.)'!F25+'№8 (ведомст.)'!F60+'№8 (ведомст.)'!F76</f>
        <v>254.29999999999998</v>
      </c>
      <c r="E246" s="42">
        <f>'№8 (ведомст.)'!G25+'№8 (ведомст.)'!G60+'№8 (ведомст.)'!G76</f>
        <v>254</v>
      </c>
    </row>
    <row r="247" spans="1:5" ht="33">
      <c r="A247" s="12" t="s">
        <v>263</v>
      </c>
      <c r="B247" s="44"/>
      <c r="C247" s="10" t="s">
        <v>369</v>
      </c>
      <c r="D247" s="42">
        <f>D248</f>
        <v>1206</v>
      </c>
      <c r="E247" s="42">
        <f>E248</f>
        <v>1206</v>
      </c>
    </row>
    <row r="248" spans="1:5" ht="12.75">
      <c r="A248" s="12" t="s">
        <v>263</v>
      </c>
      <c r="B248" s="9" t="s">
        <v>37</v>
      </c>
      <c r="C248" s="41" t="s">
        <v>125</v>
      </c>
      <c r="D248" s="42">
        <f>'№8 (ведомст.)'!F78</f>
        <v>1206</v>
      </c>
      <c r="E248" s="42">
        <f>'№8 (ведомст.)'!G78</f>
        <v>1206</v>
      </c>
    </row>
    <row r="249" spans="1:5" s="56" customFormat="1" ht="49.5">
      <c r="A249" s="33" t="s">
        <v>314</v>
      </c>
      <c r="B249" s="33"/>
      <c r="C249" s="34" t="s">
        <v>168</v>
      </c>
      <c r="D249" s="52">
        <f>D250+D263</f>
        <v>10704</v>
      </c>
      <c r="E249" s="52">
        <f>E250+E263</f>
        <v>10644.1</v>
      </c>
    </row>
    <row r="250" spans="1:5" s="56" customFormat="1" ht="33">
      <c r="A250" s="33" t="s">
        <v>315</v>
      </c>
      <c r="B250" s="33"/>
      <c r="C250" s="34" t="s">
        <v>169</v>
      </c>
      <c r="D250" s="52">
        <f>D253+D255+D259+D251+D261+D257</f>
        <v>5043.7</v>
      </c>
      <c r="E250" s="52">
        <f>E253+E255+E259+E251+E261+E257</f>
        <v>4992.9</v>
      </c>
    </row>
    <row r="251" spans="1:5" s="56" customFormat="1" ht="33">
      <c r="A251" s="32" t="s">
        <v>322</v>
      </c>
      <c r="B251" s="32"/>
      <c r="C251" s="30" t="s">
        <v>235</v>
      </c>
      <c r="D251" s="42">
        <f>D252</f>
        <v>1765</v>
      </c>
      <c r="E251" s="42">
        <f>E252</f>
        <v>1714.5</v>
      </c>
    </row>
    <row r="252" spans="1:5" s="56" customFormat="1" ht="33">
      <c r="A252" s="32" t="s">
        <v>322</v>
      </c>
      <c r="B252" s="44" t="s">
        <v>69</v>
      </c>
      <c r="C252" s="41" t="s">
        <v>8</v>
      </c>
      <c r="D252" s="42">
        <f>'№8 (ведомст.)'!F318</f>
        <v>1765</v>
      </c>
      <c r="E252" s="42">
        <f>'№8 (ведомст.)'!G318</f>
        <v>1714.5</v>
      </c>
    </row>
    <row r="253" spans="1:5" ht="12.75">
      <c r="A253" s="32" t="s">
        <v>318</v>
      </c>
      <c r="B253" s="44"/>
      <c r="C253" s="41" t="s">
        <v>170</v>
      </c>
      <c r="D253" s="42">
        <f>D254</f>
        <v>2360</v>
      </c>
      <c r="E253" s="42">
        <f>E254</f>
        <v>2359.7</v>
      </c>
    </row>
    <row r="254" spans="1:5" ht="33">
      <c r="A254" s="32" t="s">
        <v>318</v>
      </c>
      <c r="B254" s="44" t="s">
        <v>69</v>
      </c>
      <c r="C254" s="41" t="s">
        <v>8</v>
      </c>
      <c r="D254" s="42">
        <f>'№8 (ведомст.)'!F292</f>
        <v>2360</v>
      </c>
      <c r="E254" s="42">
        <f>'№8 (ведомст.)'!G292</f>
        <v>2359.7</v>
      </c>
    </row>
    <row r="255" spans="1:5" ht="33">
      <c r="A255" s="32" t="s">
        <v>319</v>
      </c>
      <c r="B255" s="44"/>
      <c r="C255" s="41" t="s">
        <v>171</v>
      </c>
      <c r="D255" s="42">
        <f>D256</f>
        <v>98</v>
      </c>
      <c r="E255" s="42">
        <f>E256</f>
        <v>98</v>
      </c>
    </row>
    <row r="256" spans="1:5" ht="33">
      <c r="A256" s="32" t="s">
        <v>319</v>
      </c>
      <c r="B256" s="44" t="s">
        <v>69</v>
      </c>
      <c r="C256" s="41" t="s">
        <v>8</v>
      </c>
      <c r="D256" s="42">
        <f>'№8 (ведомст.)'!F293</f>
        <v>98</v>
      </c>
      <c r="E256" s="42">
        <f>'№8 (ведомст.)'!G293</f>
        <v>98</v>
      </c>
    </row>
    <row r="257" spans="1:5" ht="33">
      <c r="A257" s="32" t="s">
        <v>510</v>
      </c>
      <c r="B257" s="32"/>
      <c r="C257" s="30" t="s">
        <v>511</v>
      </c>
      <c r="D257" s="42">
        <f>D258</f>
        <v>120</v>
      </c>
      <c r="E257" s="42">
        <f>E258</f>
        <v>120</v>
      </c>
    </row>
    <row r="258" spans="1:5" ht="33">
      <c r="A258" s="32" t="s">
        <v>510</v>
      </c>
      <c r="B258" s="44" t="s">
        <v>69</v>
      </c>
      <c r="C258" s="41" t="s">
        <v>8</v>
      </c>
      <c r="D258" s="42">
        <f>'№8 (ведомст.)'!F295</f>
        <v>120</v>
      </c>
      <c r="E258" s="42">
        <f>'№8 (ведомст.)'!G295</f>
        <v>120</v>
      </c>
    </row>
    <row r="259" spans="1:5" ht="33">
      <c r="A259" s="9" t="s">
        <v>321</v>
      </c>
      <c r="B259" s="44"/>
      <c r="C259" s="41" t="s">
        <v>172</v>
      </c>
      <c r="D259" s="42">
        <f>D260</f>
        <v>363</v>
      </c>
      <c r="E259" s="42">
        <f>E260</f>
        <v>363</v>
      </c>
    </row>
    <row r="260" spans="1:5" ht="33">
      <c r="A260" s="9" t="s">
        <v>321</v>
      </c>
      <c r="B260" s="44" t="s">
        <v>69</v>
      </c>
      <c r="C260" s="41" t="s">
        <v>8</v>
      </c>
      <c r="D260" s="42">
        <f>'№8 (ведомст.)'!F311</f>
        <v>363</v>
      </c>
      <c r="E260" s="42">
        <f>'№8 (ведомст.)'!G311</f>
        <v>363</v>
      </c>
    </row>
    <row r="261" spans="1:5" ht="33">
      <c r="A261" s="32" t="s">
        <v>476</v>
      </c>
      <c r="B261" s="44"/>
      <c r="C261" s="10" t="s">
        <v>475</v>
      </c>
      <c r="D261" s="42">
        <f>D262</f>
        <v>337.7</v>
      </c>
      <c r="E261" s="42">
        <f>E262</f>
        <v>337.7</v>
      </c>
    </row>
    <row r="262" spans="1:5" ht="33">
      <c r="A262" s="32" t="s">
        <v>476</v>
      </c>
      <c r="B262" s="44" t="s">
        <v>69</v>
      </c>
      <c r="C262" s="41" t="s">
        <v>8</v>
      </c>
      <c r="D262" s="42">
        <f>'№8 (ведомст.)'!F322</f>
        <v>337.7</v>
      </c>
      <c r="E262" s="42">
        <f>'№8 (ведомст.)'!G322</f>
        <v>337.7</v>
      </c>
    </row>
    <row r="263" spans="1:5" s="56" customFormat="1" ht="12.75">
      <c r="A263" s="33" t="s">
        <v>320</v>
      </c>
      <c r="B263" s="33"/>
      <c r="C263" s="34" t="s">
        <v>5</v>
      </c>
      <c r="D263" s="52">
        <f aca="true" t="shared" si="3" ref="D263:E264">D264</f>
        <v>5660.3</v>
      </c>
      <c r="E263" s="52">
        <f t="shared" si="3"/>
        <v>5651.200000000001</v>
      </c>
    </row>
    <row r="264" spans="1:5" ht="49.5">
      <c r="A264" s="32" t="s">
        <v>317</v>
      </c>
      <c r="B264" s="44"/>
      <c r="C264" s="41" t="s">
        <v>113</v>
      </c>
      <c r="D264" s="42">
        <f t="shared" si="3"/>
        <v>5660.3</v>
      </c>
      <c r="E264" s="42">
        <f t="shared" si="3"/>
        <v>5651.200000000001</v>
      </c>
    </row>
    <row r="265" spans="1:5" ht="33">
      <c r="A265" s="32" t="s">
        <v>317</v>
      </c>
      <c r="B265" s="44" t="s">
        <v>69</v>
      </c>
      <c r="C265" s="41" t="s">
        <v>8</v>
      </c>
      <c r="D265" s="42">
        <f>'№8 (ведомст.)'!F299</f>
        <v>5660.3</v>
      </c>
      <c r="E265" s="42">
        <f>'№8 (ведомст.)'!G299</f>
        <v>5651.200000000001</v>
      </c>
    </row>
    <row r="266" spans="1:5" s="56" customFormat="1" ht="38.45" customHeight="1">
      <c r="A266" s="33" t="s">
        <v>306</v>
      </c>
      <c r="B266" s="33"/>
      <c r="C266" s="34" t="s">
        <v>14</v>
      </c>
      <c r="D266" s="52">
        <f>D267+D273+D276+D270</f>
        <v>12011.2</v>
      </c>
      <c r="E266" s="52">
        <f>E267+E273+E276+E270</f>
        <v>11978.800000000001</v>
      </c>
    </row>
    <row r="267" spans="1:5" s="56" customFormat="1" ht="33">
      <c r="A267" s="33" t="s">
        <v>310</v>
      </c>
      <c r="B267" s="33"/>
      <c r="C267" s="34" t="s">
        <v>224</v>
      </c>
      <c r="D267" s="52">
        <f aca="true" t="shared" si="4" ref="D267:E268">D268</f>
        <v>959.0999999999999</v>
      </c>
      <c r="E267" s="52">
        <f t="shared" si="4"/>
        <v>959.1</v>
      </c>
    </row>
    <row r="268" spans="1:5" ht="49.5">
      <c r="A268" s="9" t="s">
        <v>311</v>
      </c>
      <c r="B268" s="44"/>
      <c r="C268" s="41" t="s">
        <v>227</v>
      </c>
      <c r="D268" s="42">
        <f t="shared" si="4"/>
        <v>959.0999999999999</v>
      </c>
      <c r="E268" s="42">
        <f t="shared" si="4"/>
        <v>959.1</v>
      </c>
    </row>
    <row r="269" spans="1:5" ht="33">
      <c r="A269" s="9" t="s">
        <v>311</v>
      </c>
      <c r="B269" s="44" t="s">
        <v>71</v>
      </c>
      <c r="C269" s="41" t="s">
        <v>102</v>
      </c>
      <c r="D269" s="42">
        <f>'№8 (ведомст.)'!F272</f>
        <v>959.0999999999999</v>
      </c>
      <c r="E269" s="42">
        <f>'№8 (ведомст.)'!G272</f>
        <v>959.1</v>
      </c>
    </row>
    <row r="270" spans="1:5" ht="33">
      <c r="A270" s="33" t="s">
        <v>519</v>
      </c>
      <c r="B270" s="33"/>
      <c r="C270" s="34" t="s">
        <v>516</v>
      </c>
      <c r="D270" s="52">
        <f>D271</f>
        <v>238.40000000000003</v>
      </c>
      <c r="E270" s="52">
        <f>E271</f>
        <v>237.2</v>
      </c>
    </row>
    <row r="271" spans="1:5" ht="12.75">
      <c r="A271" s="9" t="s">
        <v>520</v>
      </c>
      <c r="B271" s="44"/>
      <c r="C271" s="10" t="s">
        <v>517</v>
      </c>
      <c r="D271" s="42">
        <f>D272</f>
        <v>238.40000000000003</v>
      </c>
      <c r="E271" s="42">
        <f>E272</f>
        <v>237.2</v>
      </c>
    </row>
    <row r="272" spans="1:5" ht="33">
      <c r="A272" s="9" t="s">
        <v>520</v>
      </c>
      <c r="B272" s="44" t="s">
        <v>71</v>
      </c>
      <c r="C272" s="41" t="s">
        <v>102</v>
      </c>
      <c r="D272" s="42">
        <f>'№8 (ведомст.)'!F284</f>
        <v>238.40000000000003</v>
      </c>
      <c r="E272" s="42">
        <f>'№8 (ведомст.)'!G284</f>
        <v>237.2</v>
      </c>
    </row>
    <row r="273" spans="1:5" s="56" customFormat="1" ht="12.75">
      <c r="A273" s="33" t="s">
        <v>312</v>
      </c>
      <c r="B273" s="33"/>
      <c r="C273" s="34" t="s">
        <v>148</v>
      </c>
      <c r="D273" s="52">
        <f aca="true" t="shared" si="5" ref="D273:E274">D274</f>
        <v>32.5</v>
      </c>
      <c r="E273" s="52">
        <f t="shared" si="5"/>
        <v>6.1</v>
      </c>
    </row>
    <row r="274" spans="1:5" ht="33">
      <c r="A274" s="9" t="s">
        <v>313</v>
      </c>
      <c r="B274" s="9"/>
      <c r="C274" s="31" t="s">
        <v>149</v>
      </c>
      <c r="D274" s="42">
        <f t="shared" si="5"/>
        <v>32.5</v>
      </c>
      <c r="E274" s="42">
        <f t="shared" si="5"/>
        <v>6.1</v>
      </c>
    </row>
    <row r="275" spans="1:5" ht="33">
      <c r="A275" s="9" t="s">
        <v>313</v>
      </c>
      <c r="B275" s="44" t="s">
        <v>71</v>
      </c>
      <c r="C275" s="41" t="s">
        <v>102</v>
      </c>
      <c r="D275" s="42">
        <f>'№8 (ведомст.)'!F276</f>
        <v>32.5</v>
      </c>
      <c r="E275" s="42">
        <f>'№8 (ведомст.)'!G276</f>
        <v>6.1</v>
      </c>
    </row>
    <row r="276" spans="1:5" s="56" customFormat="1" ht="12.75">
      <c r="A276" s="33" t="s">
        <v>307</v>
      </c>
      <c r="B276" s="33"/>
      <c r="C276" s="34" t="s">
        <v>5</v>
      </c>
      <c r="D276" s="52">
        <f aca="true" t="shared" si="6" ref="D276:E277">D277</f>
        <v>10781.2</v>
      </c>
      <c r="E276" s="52">
        <f t="shared" si="6"/>
        <v>10776.4</v>
      </c>
    </row>
    <row r="277" spans="1:5" ht="49.5">
      <c r="A277" s="9" t="s">
        <v>308</v>
      </c>
      <c r="B277" s="44"/>
      <c r="C277" s="41" t="s">
        <v>113</v>
      </c>
      <c r="D277" s="42">
        <f t="shared" si="6"/>
        <v>10781.2</v>
      </c>
      <c r="E277" s="42">
        <f t="shared" si="6"/>
        <v>10776.4</v>
      </c>
    </row>
    <row r="278" spans="1:5" ht="33">
      <c r="A278" s="9" t="s">
        <v>308</v>
      </c>
      <c r="B278" s="44" t="s">
        <v>71</v>
      </c>
      <c r="C278" s="41" t="s">
        <v>102</v>
      </c>
      <c r="D278" s="42">
        <f>'№8 (ведомст.)'!F259</f>
        <v>10781.2</v>
      </c>
      <c r="E278" s="42">
        <f>'№8 (ведомст.)'!G259</f>
        <v>10776.4</v>
      </c>
    </row>
    <row r="279" spans="1:5" s="56" customFormat="1" ht="33">
      <c r="A279" s="33" t="s">
        <v>366</v>
      </c>
      <c r="B279" s="33"/>
      <c r="C279" s="34" t="s">
        <v>225</v>
      </c>
      <c r="D279" s="52">
        <f>D280+D291+D283+D288</f>
        <v>5937.499999999999</v>
      </c>
      <c r="E279" s="52">
        <f>E280+E291+E283+E288</f>
        <v>4914.9</v>
      </c>
    </row>
    <row r="280" spans="1:5" s="56" customFormat="1" ht="12.75">
      <c r="A280" s="33" t="s">
        <v>456</v>
      </c>
      <c r="B280" s="33"/>
      <c r="C280" s="34" t="s">
        <v>23</v>
      </c>
      <c r="D280" s="52">
        <f aca="true" t="shared" si="7" ref="D280:E281">D281</f>
        <v>1000</v>
      </c>
      <c r="E280" s="52">
        <f t="shared" si="7"/>
        <v>0</v>
      </c>
    </row>
    <row r="281" spans="1:5" ht="25.15" customHeight="1">
      <c r="A281" s="4" t="s">
        <v>309</v>
      </c>
      <c r="B281" s="44" t="s">
        <v>105</v>
      </c>
      <c r="C281" s="41" t="s">
        <v>150</v>
      </c>
      <c r="D281" s="42">
        <f t="shared" si="7"/>
        <v>1000</v>
      </c>
      <c r="E281" s="42">
        <f t="shared" si="7"/>
        <v>0</v>
      </c>
    </row>
    <row r="282" spans="1:5" ht="33">
      <c r="A282" s="4" t="s">
        <v>309</v>
      </c>
      <c r="B282" s="44" t="s">
        <v>71</v>
      </c>
      <c r="C282" s="41" t="s">
        <v>102</v>
      </c>
      <c r="D282" s="42">
        <f>'№8 (ведомст.)'!F266</f>
        <v>1000</v>
      </c>
      <c r="E282" s="42">
        <f>'№8 (ведомст.)'!G266</f>
        <v>0</v>
      </c>
    </row>
    <row r="283" spans="1:5" s="56" customFormat="1" ht="33">
      <c r="A283" s="33">
        <v>9940000000</v>
      </c>
      <c r="B283" s="33"/>
      <c r="C283" s="34" t="s">
        <v>477</v>
      </c>
      <c r="D283" s="52">
        <f>D284</f>
        <v>833.7</v>
      </c>
      <c r="E283" s="52">
        <f>E284</f>
        <v>833.7</v>
      </c>
    </row>
    <row r="284" spans="1:5" ht="12.75">
      <c r="A284" s="4" t="s">
        <v>478</v>
      </c>
      <c r="B284" s="44"/>
      <c r="C284" s="10" t="s">
        <v>479</v>
      </c>
      <c r="D284" s="42">
        <f>D285+D286+D287</f>
        <v>833.7</v>
      </c>
      <c r="E284" s="42">
        <f>E285+E286+E287</f>
        <v>833.7</v>
      </c>
    </row>
    <row r="285" spans="1:5" ht="12.75">
      <c r="A285" s="4" t="s">
        <v>478</v>
      </c>
      <c r="B285" s="9" t="s">
        <v>37</v>
      </c>
      <c r="C285" s="41" t="s">
        <v>125</v>
      </c>
      <c r="D285" s="42">
        <f>'№8 (ведомст.)'!F70</f>
        <v>117.80000000000001</v>
      </c>
      <c r="E285" s="42">
        <f>'№8 (ведомст.)'!G70</f>
        <v>117.8</v>
      </c>
    </row>
    <row r="286" spans="1:5" ht="33">
      <c r="A286" s="4" t="s">
        <v>478</v>
      </c>
      <c r="B286" s="44" t="s">
        <v>69</v>
      </c>
      <c r="C286" s="41" t="s">
        <v>8</v>
      </c>
      <c r="D286" s="42">
        <f>'№8 (ведомст.)'!F302</f>
        <v>483.7</v>
      </c>
      <c r="E286" s="42">
        <f>'№8 (ведомст.)'!G302</f>
        <v>483.7</v>
      </c>
    </row>
    <row r="287" spans="1:5" ht="33">
      <c r="A287" s="4" t="s">
        <v>478</v>
      </c>
      <c r="B287" s="9" t="s">
        <v>16</v>
      </c>
      <c r="C287" s="41" t="s">
        <v>21</v>
      </c>
      <c r="D287" s="42">
        <f>'№8 (ведомст.)'!F347</f>
        <v>232.2</v>
      </c>
      <c r="E287" s="42">
        <f>'№8 (ведомст.)'!G347</f>
        <v>232.2</v>
      </c>
    </row>
    <row r="288" spans="1:5" ht="33">
      <c r="A288" s="33" t="s">
        <v>507</v>
      </c>
      <c r="B288" s="9"/>
      <c r="C288" s="34" t="s">
        <v>504</v>
      </c>
      <c r="D288" s="52">
        <f>D289</f>
        <v>100</v>
      </c>
      <c r="E288" s="52">
        <f>E289</f>
        <v>100</v>
      </c>
    </row>
    <row r="289" spans="1:5" ht="33">
      <c r="A289" s="4" t="s">
        <v>505</v>
      </c>
      <c r="B289" s="44"/>
      <c r="C289" s="10" t="s">
        <v>506</v>
      </c>
      <c r="D289" s="42">
        <f>D290</f>
        <v>100</v>
      </c>
      <c r="E289" s="42">
        <f>E290</f>
        <v>100</v>
      </c>
    </row>
    <row r="290" spans="1:5" ht="12.75">
      <c r="A290" s="4" t="s">
        <v>505</v>
      </c>
      <c r="B290" s="9" t="s">
        <v>24</v>
      </c>
      <c r="C290" s="41" t="s">
        <v>25</v>
      </c>
      <c r="D290" s="42">
        <f>'№8 (ведомст.)'!F465</f>
        <v>100</v>
      </c>
      <c r="E290" s="42">
        <f>'№8 (ведомст.)'!G465</f>
        <v>100</v>
      </c>
    </row>
    <row r="291" spans="1:5" s="56" customFormat="1" ht="49.5">
      <c r="A291" s="54">
        <v>9990000000</v>
      </c>
      <c r="B291" s="33"/>
      <c r="C291" s="34" t="s">
        <v>10</v>
      </c>
      <c r="D291" s="52">
        <f>D292+D294</f>
        <v>4003.7999999999997</v>
      </c>
      <c r="E291" s="52">
        <f>E292+E294</f>
        <v>3981.2</v>
      </c>
    </row>
    <row r="292" spans="1:5" ht="12.75">
      <c r="A292" s="4" t="s">
        <v>324</v>
      </c>
      <c r="B292" s="89" t="s">
        <v>105</v>
      </c>
      <c r="C292" s="41" t="s">
        <v>11</v>
      </c>
      <c r="D292" s="42">
        <f>D293</f>
        <v>1198.9</v>
      </c>
      <c r="E292" s="42">
        <f>E293</f>
        <v>1198.9</v>
      </c>
    </row>
    <row r="293" spans="1:5" ht="12.75">
      <c r="A293" s="4" t="s">
        <v>324</v>
      </c>
      <c r="B293" s="44" t="s">
        <v>31</v>
      </c>
      <c r="C293" s="41" t="s">
        <v>7</v>
      </c>
      <c r="D293" s="42">
        <f>'№8 (ведомст.)'!F335</f>
        <v>1198.9</v>
      </c>
      <c r="E293" s="42">
        <f>'№8 (ведомст.)'!G335</f>
        <v>1198.9</v>
      </c>
    </row>
    <row r="294" spans="1:5" ht="33">
      <c r="A294" s="4" t="s">
        <v>325</v>
      </c>
      <c r="B294" s="44" t="s">
        <v>105</v>
      </c>
      <c r="C294" s="41" t="s">
        <v>12</v>
      </c>
      <c r="D294" s="42">
        <f>D295</f>
        <v>2804.8999999999996</v>
      </c>
      <c r="E294" s="42">
        <f>E295</f>
        <v>2782.2999999999997</v>
      </c>
    </row>
    <row r="295" spans="1:5" ht="12.75">
      <c r="A295" s="4" t="s">
        <v>325</v>
      </c>
      <c r="B295" s="44" t="s">
        <v>31</v>
      </c>
      <c r="C295" s="41" t="s">
        <v>7</v>
      </c>
      <c r="D295" s="42">
        <f>'№8 (ведомст.)'!F337</f>
        <v>2804.8999999999996</v>
      </c>
      <c r="E295" s="42">
        <f>'№8 (ведомст.)'!G337</f>
        <v>2782.2999999999997</v>
      </c>
    </row>
  </sheetData>
  <mergeCells count="4">
    <mergeCell ref="C1:E1"/>
    <mergeCell ref="C2:E2"/>
    <mergeCell ref="C3:E3"/>
    <mergeCell ref="A5:E5"/>
  </mergeCells>
  <printOptions/>
  <pageMargins left="0.5905511811023623" right="0.11811023622047245" top="0.15748031496062992" bottom="0.15748031496062992" header="0.31496062992125984" footer="0.31496062992125984"/>
  <pageSetup fitToHeight="0" fitToWidth="1"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F51"/>
  <sheetViews>
    <sheetView workbookViewId="0" topLeftCell="A1">
      <selection activeCell="C12" sqref="C12"/>
    </sheetView>
  </sheetViews>
  <sheetFormatPr defaultColWidth="9.125" defaultRowHeight="12.75"/>
  <cols>
    <col min="1" max="1" width="15.75390625" style="3" customWidth="1"/>
    <col min="2" max="2" width="8.375" style="3" customWidth="1"/>
    <col min="3" max="3" width="83.125" style="43" customWidth="1"/>
    <col min="4" max="4" width="14.625" style="3" customWidth="1"/>
    <col min="5" max="5" width="14.25390625" style="43" customWidth="1"/>
    <col min="6" max="6" width="10.25390625" style="43" bestFit="1" customWidth="1"/>
    <col min="7" max="16384" width="9.125" style="43" customWidth="1"/>
  </cols>
  <sheetData>
    <row r="1" spans="3:5" ht="12.75">
      <c r="C1" s="263" t="s">
        <v>606</v>
      </c>
      <c r="D1" s="263"/>
      <c r="E1" s="263"/>
    </row>
    <row r="2" spans="3:5" ht="12.75">
      <c r="C2" s="263" t="s">
        <v>1145</v>
      </c>
      <c r="D2" s="263"/>
      <c r="E2" s="263"/>
    </row>
    <row r="3" spans="3:5" ht="12.75">
      <c r="C3" s="263" t="s">
        <v>1147</v>
      </c>
      <c r="D3" s="263"/>
      <c r="E3" s="263"/>
    </row>
    <row r="4" spans="1:4" ht="25.9" customHeight="1">
      <c r="A4" s="270"/>
      <c r="B4" s="270"/>
      <c r="C4" s="270"/>
      <c r="D4" s="270"/>
    </row>
    <row r="5" spans="1:5" ht="69.6" customHeight="1">
      <c r="A5" s="264" t="s">
        <v>607</v>
      </c>
      <c r="B5" s="264"/>
      <c r="C5" s="264"/>
      <c r="D5" s="264"/>
      <c r="E5" s="264"/>
    </row>
    <row r="6" spans="1:5" ht="12.75">
      <c r="A6" s="107"/>
      <c r="B6" s="107"/>
      <c r="C6" s="107"/>
      <c r="D6" s="107"/>
      <c r="E6" s="111" t="s">
        <v>641</v>
      </c>
    </row>
    <row r="7" spans="1:5" ht="49.5">
      <c r="A7" s="16" t="s">
        <v>34</v>
      </c>
      <c r="B7" s="16" t="s">
        <v>33</v>
      </c>
      <c r="C7" s="16" t="s">
        <v>36</v>
      </c>
      <c r="D7" s="233" t="s">
        <v>575</v>
      </c>
      <c r="E7" s="16" t="s">
        <v>576</v>
      </c>
    </row>
    <row r="8" spans="1:5" ht="12.75">
      <c r="A8" s="16">
        <v>1</v>
      </c>
      <c r="B8" s="16">
        <v>2</v>
      </c>
      <c r="C8" s="113">
        <v>3</v>
      </c>
      <c r="D8" s="53">
        <v>4</v>
      </c>
      <c r="E8" s="61">
        <v>5</v>
      </c>
    </row>
    <row r="9" spans="1:5" ht="12.75">
      <c r="A9" s="16"/>
      <c r="B9" s="16"/>
      <c r="C9" s="114" t="s">
        <v>96</v>
      </c>
      <c r="D9" s="52">
        <f>D10+D12+D14+D16+D18+D20+D22+D24+D26+D28+D30+D32+D34+D36+D40+D42+D44+D46+D48+D50</f>
        <v>289145.19999999995</v>
      </c>
      <c r="E9" s="52">
        <f>E10+E12+E14+E16+E18+E20+E22+E24+E26+E28+E30+E32+E34+E36+E40+E42+E44+E46+E48+E50</f>
        <v>288606.5</v>
      </c>
    </row>
    <row r="10" spans="1:5" ht="72" customHeight="1">
      <c r="A10" s="9"/>
      <c r="B10" s="9"/>
      <c r="C10" s="55" t="s">
        <v>587</v>
      </c>
      <c r="D10" s="115">
        <f>D11</f>
        <v>86181.9</v>
      </c>
      <c r="E10" s="115">
        <f>E11</f>
        <v>86181.9</v>
      </c>
    </row>
    <row r="11" spans="1:5" ht="12.75">
      <c r="A11" s="9" t="s">
        <v>348</v>
      </c>
      <c r="B11" s="9" t="s">
        <v>24</v>
      </c>
      <c r="C11" s="10" t="s">
        <v>25</v>
      </c>
      <c r="D11" s="116">
        <f>'№8 (ведомст.)'!F421</f>
        <v>86181.9</v>
      </c>
      <c r="E11" s="116">
        <f>'№8 (ведомст.)'!G421</f>
        <v>86181.9</v>
      </c>
    </row>
    <row r="12" spans="1:5" ht="99">
      <c r="A12" s="54"/>
      <c r="B12" s="54"/>
      <c r="C12" s="55" t="s">
        <v>588</v>
      </c>
      <c r="D12" s="115">
        <f>D13</f>
        <v>169112.6</v>
      </c>
      <c r="E12" s="115">
        <f>E13</f>
        <v>169112.6</v>
      </c>
    </row>
    <row r="13" spans="1:5" ht="12.75">
      <c r="A13" s="9" t="s">
        <v>355</v>
      </c>
      <c r="B13" s="9" t="s">
        <v>24</v>
      </c>
      <c r="C13" s="10" t="s">
        <v>25</v>
      </c>
      <c r="D13" s="116">
        <f>'№8 (ведомст.)'!F441</f>
        <v>169112.6</v>
      </c>
      <c r="E13" s="116">
        <f>'№8 (ведомст.)'!G441</f>
        <v>169112.6</v>
      </c>
    </row>
    <row r="14" spans="1:5" s="56" customFormat="1" ht="99">
      <c r="A14" s="54"/>
      <c r="B14" s="54"/>
      <c r="C14" s="55" t="s">
        <v>589</v>
      </c>
      <c r="D14" s="52">
        <f>D15</f>
        <v>7487.8</v>
      </c>
      <c r="E14" s="52">
        <f>E15</f>
        <v>7487.8</v>
      </c>
    </row>
    <row r="15" spans="1:5" s="56" customFormat="1" ht="21" customHeight="1">
      <c r="A15" s="9" t="s">
        <v>360</v>
      </c>
      <c r="B15" s="9" t="s">
        <v>24</v>
      </c>
      <c r="C15" s="10" t="s">
        <v>25</v>
      </c>
      <c r="D15" s="42">
        <f>'№8 (ведомст.)'!F499</f>
        <v>7487.8</v>
      </c>
      <c r="E15" s="42">
        <f>'№8 (ведомст.)'!G499</f>
        <v>7487.8</v>
      </c>
    </row>
    <row r="16" spans="1:5" s="56" customFormat="1" ht="49.5">
      <c r="A16" s="54"/>
      <c r="B16" s="54"/>
      <c r="C16" s="55" t="s">
        <v>590</v>
      </c>
      <c r="D16" s="52">
        <f>D17</f>
        <v>650</v>
      </c>
      <c r="E16" s="52">
        <f>E17</f>
        <v>650</v>
      </c>
    </row>
    <row r="17" spans="1:5" s="56" customFormat="1" ht="12.75">
      <c r="A17" s="9" t="s">
        <v>253</v>
      </c>
      <c r="B17" s="9" t="s">
        <v>37</v>
      </c>
      <c r="C17" s="41" t="s">
        <v>125</v>
      </c>
      <c r="D17" s="42">
        <f>'№8 (ведомст.)'!F27</f>
        <v>650</v>
      </c>
      <c r="E17" s="42">
        <f>'№8 (ведомст.)'!G27</f>
        <v>650</v>
      </c>
    </row>
    <row r="18" spans="1:5" s="56" customFormat="1" ht="49.5">
      <c r="A18" s="9"/>
      <c r="B18" s="9"/>
      <c r="C18" s="55" t="s">
        <v>591</v>
      </c>
      <c r="D18" s="52">
        <f>D19</f>
        <v>42.8</v>
      </c>
      <c r="E18" s="52">
        <f>E19</f>
        <v>0</v>
      </c>
    </row>
    <row r="19" spans="1:5" s="56" customFormat="1" ht="12.75">
      <c r="A19" s="9" t="s">
        <v>255</v>
      </c>
      <c r="B19" s="9" t="s">
        <v>37</v>
      </c>
      <c r="C19" s="41" t="s">
        <v>125</v>
      </c>
      <c r="D19" s="42">
        <f>'№8 (ведомст.)'!F34</f>
        <v>42.8</v>
      </c>
      <c r="E19" s="42">
        <f>'№8 (ведомст.)'!G34</f>
        <v>0</v>
      </c>
    </row>
    <row r="20" spans="1:5" s="56" customFormat="1" ht="99">
      <c r="A20" s="9"/>
      <c r="B20" s="9"/>
      <c r="C20" s="55" t="s">
        <v>592</v>
      </c>
      <c r="D20" s="52">
        <f>D21</f>
        <v>250.9</v>
      </c>
      <c r="E20" s="52">
        <f>E21</f>
        <v>250.9</v>
      </c>
    </row>
    <row r="21" spans="1:5" s="56" customFormat="1" ht="12.75">
      <c r="A21" s="12" t="s">
        <v>268</v>
      </c>
      <c r="B21" s="9" t="s">
        <v>37</v>
      </c>
      <c r="C21" s="41" t="s">
        <v>125</v>
      </c>
      <c r="D21" s="42">
        <f>'№8 (ведомст.)'!F92</f>
        <v>250.9</v>
      </c>
      <c r="E21" s="42">
        <f>'№8 (ведомст.)'!G92</f>
        <v>250.9</v>
      </c>
    </row>
    <row r="22" spans="1:5" s="56" customFormat="1" ht="33">
      <c r="A22" s="54"/>
      <c r="B22" s="54"/>
      <c r="C22" s="55" t="s">
        <v>593</v>
      </c>
      <c r="D22" s="52">
        <f>D23</f>
        <v>1206</v>
      </c>
      <c r="E22" s="52">
        <f>E23</f>
        <v>1206</v>
      </c>
    </row>
    <row r="23" spans="1:5" s="56" customFormat="1" ht="12.75">
      <c r="A23" s="12" t="s">
        <v>263</v>
      </c>
      <c r="B23" s="9" t="s">
        <v>37</v>
      </c>
      <c r="C23" s="10" t="s">
        <v>125</v>
      </c>
      <c r="D23" s="42">
        <f>'№8 (ведомст.)'!F78</f>
        <v>1206</v>
      </c>
      <c r="E23" s="42">
        <f>'№8 (ведомст.)'!G78</f>
        <v>1206</v>
      </c>
    </row>
    <row r="24" spans="1:6" s="56" customFormat="1" ht="66">
      <c r="A24" s="54"/>
      <c r="B24" s="54"/>
      <c r="C24" s="55" t="s">
        <v>594</v>
      </c>
      <c r="D24" s="52">
        <f>D25</f>
        <v>264</v>
      </c>
      <c r="E24" s="52">
        <f>E25</f>
        <v>260.3</v>
      </c>
      <c r="F24" s="117"/>
    </row>
    <row r="25" spans="1:5" s="56" customFormat="1" ht="20.45" customHeight="1">
      <c r="A25" s="12" t="s">
        <v>262</v>
      </c>
      <c r="B25" s="9" t="s">
        <v>37</v>
      </c>
      <c r="C25" s="10" t="s">
        <v>125</v>
      </c>
      <c r="D25" s="42">
        <f>'№8 (ведомст.)'!F62</f>
        <v>264</v>
      </c>
      <c r="E25" s="42">
        <f>'№8 (ведомст.)'!G62</f>
        <v>260.3</v>
      </c>
    </row>
    <row r="26" spans="1:5" ht="82.5">
      <c r="A26" s="9"/>
      <c r="B26" s="9"/>
      <c r="C26" s="8" t="s">
        <v>595</v>
      </c>
      <c r="D26" s="52">
        <f>D27</f>
        <v>6864.9</v>
      </c>
      <c r="E26" s="52">
        <f>E27</f>
        <v>6770.8</v>
      </c>
    </row>
    <row r="27" spans="1:5" ht="33">
      <c r="A27" s="9" t="s">
        <v>452</v>
      </c>
      <c r="B27" s="9" t="s">
        <v>69</v>
      </c>
      <c r="C27" s="10" t="s">
        <v>596</v>
      </c>
      <c r="D27" s="42">
        <f>'№8 (ведомст.)'!F328</f>
        <v>6864.9</v>
      </c>
      <c r="E27" s="42">
        <f>'№8 (ведомст.)'!G328</f>
        <v>6770.8</v>
      </c>
    </row>
    <row r="28" spans="1:5" ht="33">
      <c r="A28" s="9"/>
      <c r="B28" s="9"/>
      <c r="C28" s="8" t="s">
        <v>597</v>
      </c>
      <c r="D28" s="52">
        <f>D29</f>
        <v>5594.4</v>
      </c>
      <c r="E28" s="52">
        <f>E29</f>
        <v>5594.4</v>
      </c>
    </row>
    <row r="29" spans="1:5" ht="12.75">
      <c r="A29" s="9" t="s">
        <v>480</v>
      </c>
      <c r="B29" s="9" t="s">
        <v>24</v>
      </c>
      <c r="C29" s="10" t="s">
        <v>25</v>
      </c>
      <c r="D29" s="42">
        <f>'№8 (ведомст.)'!F443</f>
        <v>5594.4</v>
      </c>
      <c r="E29" s="42">
        <f>'№8 (ведомст.)'!G443</f>
        <v>5594.4</v>
      </c>
    </row>
    <row r="30" spans="1:5" ht="82.5">
      <c r="A30" s="9"/>
      <c r="B30" s="9"/>
      <c r="C30" s="8" t="s">
        <v>598</v>
      </c>
      <c r="D30" s="52">
        <f>D31</f>
        <v>1614.1</v>
      </c>
      <c r="E30" s="52">
        <f>E31</f>
        <v>1277.4</v>
      </c>
    </row>
    <row r="31" spans="1:5" ht="12.75">
      <c r="A31" s="12" t="s">
        <v>484</v>
      </c>
      <c r="B31" s="9" t="s">
        <v>37</v>
      </c>
      <c r="C31" s="10" t="s">
        <v>125</v>
      </c>
      <c r="D31" s="28">
        <f>'№8 (ведомст.)'!F44</f>
        <v>1614.1</v>
      </c>
      <c r="E31" s="28">
        <f>'№8 (ведомст.)'!G44</f>
        <v>1277.4</v>
      </c>
    </row>
    <row r="32" spans="1:5" ht="49.5">
      <c r="A32" s="9"/>
      <c r="B32" s="9"/>
      <c r="C32" s="8" t="s">
        <v>599</v>
      </c>
      <c r="D32" s="52">
        <f>D33</f>
        <v>477.6</v>
      </c>
      <c r="E32" s="52">
        <f>E33</f>
        <v>477.6</v>
      </c>
    </row>
    <row r="33" spans="1:5" ht="12.75">
      <c r="A33" s="12" t="s">
        <v>492</v>
      </c>
      <c r="B33" s="9" t="s">
        <v>37</v>
      </c>
      <c r="C33" s="10" t="s">
        <v>125</v>
      </c>
      <c r="D33" s="4">
        <f>'№8 (ведомст.)'!F252</f>
        <v>477.6</v>
      </c>
      <c r="E33" s="4">
        <f>'№8 (ведомст.)'!G252</f>
        <v>477.6</v>
      </c>
    </row>
    <row r="34" spans="1:5" ht="49.5">
      <c r="A34" s="9"/>
      <c r="B34" s="9"/>
      <c r="C34" s="8" t="s">
        <v>600</v>
      </c>
      <c r="D34" s="52">
        <f>D35</f>
        <v>4227</v>
      </c>
      <c r="E34" s="52">
        <f>E35</f>
        <v>4227</v>
      </c>
    </row>
    <row r="35" spans="1:5" ht="12.75">
      <c r="A35" s="12" t="s">
        <v>493</v>
      </c>
      <c r="B35" s="9" t="s">
        <v>24</v>
      </c>
      <c r="C35" s="10" t="s">
        <v>25</v>
      </c>
      <c r="D35" s="28">
        <f>'№8 (ведомст.)'!F439</f>
        <v>4227</v>
      </c>
      <c r="E35" s="28">
        <f>'№8 (ведомст.)'!G439</f>
        <v>4227</v>
      </c>
    </row>
    <row r="36" spans="1:5" ht="12.75">
      <c r="A36" s="9"/>
      <c r="B36" s="9"/>
      <c r="C36" s="8" t="s">
        <v>573</v>
      </c>
      <c r="D36" s="52">
        <f>D38+D37+D39</f>
        <v>3107.1</v>
      </c>
      <c r="E36" s="52">
        <f>E38+E37+E39</f>
        <v>3106.8</v>
      </c>
    </row>
    <row r="37" spans="1:5" ht="33">
      <c r="A37" s="12" t="s">
        <v>499</v>
      </c>
      <c r="B37" s="9" t="s">
        <v>16</v>
      </c>
      <c r="C37" s="10" t="s">
        <v>21</v>
      </c>
      <c r="D37" s="42">
        <f>'№8 (ведомст.)'!F361</f>
        <v>246.29999999999998</v>
      </c>
      <c r="E37" s="42">
        <f>'№8 (ведомст.)'!G361</f>
        <v>246.3</v>
      </c>
    </row>
    <row r="38" spans="1:5" ht="12.75">
      <c r="A38" s="12" t="s">
        <v>498</v>
      </c>
      <c r="B38" s="9" t="s">
        <v>24</v>
      </c>
      <c r="C38" s="10" t="s">
        <v>25</v>
      </c>
      <c r="D38" s="28">
        <f>'№8 (ведомст.)'!F475</f>
        <v>35.80000000000001</v>
      </c>
      <c r="E38" s="28">
        <f>'№8 (ведомст.)'!G475</f>
        <v>35.5</v>
      </c>
    </row>
    <row r="39" spans="1:5" ht="12.75">
      <c r="A39" s="12" t="s">
        <v>499</v>
      </c>
      <c r="B39" s="9" t="s">
        <v>24</v>
      </c>
      <c r="C39" s="10" t="s">
        <v>25</v>
      </c>
      <c r="D39" s="28">
        <f>'№8 (ведомст.)'!F477</f>
        <v>2825</v>
      </c>
      <c r="E39" s="28">
        <f>'№8 (ведомст.)'!G477</f>
        <v>2825</v>
      </c>
    </row>
    <row r="40" spans="1:5" ht="49.5">
      <c r="A40" s="9"/>
      <c r="B40" s="9"/>
      <c r="C40" s="8" t="s">
        <v>601</v>
      </c>
      <c r="D40" s="52">
        <f>D41</f>
        <v>100</v>
      </c>
      <c r="E40" s="52">
        <f>E41</f>
        <v>100</v>
      </c>
    </row>
    <row r="41" spans="1:5" ht="12.75">
      <c r="A41" s="4" t="s">
        <v>505</v>
      </c>
      <c r="B41" s="9" t="s">
        <v>24</v>
      </c>
      <c r="C41" s="10" t="s">
        <v>25</v>
      </c>
      <c r="D41" s="28">
        <f>'№8 (ведомст.)'!F466</f>
        <v>100</v>
      </c>
      <c r="E41" s="28">
        <f>'№8 (ведомст.)'!G466</f>
        <v>100</v>
      </c>
    </row>
    <row r="42" spans="1:5" s="56" customFormat="1" ht="33">
      <c r="A42" s="54"/>
      <c r="B42" s="54"/>
      <c r="C42" s="8" t="s">
        <v>574</v>
      </c>
      <c r="D42" s="54">
        <f>D43</f>
        <v>255.1</v>
      </c>
      <c r="E42" s="54">
        <f>E43</f>
        <v>195.2</v>
      </c>
    </row>
    <row r="43" spans="1:5" ht="12.75">
      <c r="A43" s="9" t="s">
        <v>508</v>
      </c>
      <c r="B43" s="9" t="s">
        <v>37</v>
      </c>
      <c r="C43" s="10" t="s">
        <v>125</v>
      </c>
      <c r="D43" s="4">
        <f>'№8 (ведомст.)'!F158</f>
        <v>255.1</v>
      </c>
      <c r="E43" s="4">
        <f>'№8 (ведомст.)'!G158</f>
        <v>195.2</v>
      </c>
    </row>
    <row r="44" spans="1:5" ht="33">
      <c r="A44" s="4"/>
      <c r="B44" s="4"/>
      <c r="C44" s="8" t="s">
        <v>602</v>
      </c>
      <c r="D44" s="54">
        <f>D45</f>
        <v>418.9</v>
      </c>
      <c r="E44" s="54">
        <f>E45</f>
        <v>418.9</v>
      </c>
    </row>
    <row r="45" spans="1:5" ht="33">
      <c r="A45" s="9" t="s">
        <v>541</v>
      </c>
      <c r="B45" s="9" t="s">
        <v>16</v>
      </c>
      <c r="C45" s="10" t="s">
        <v>21</v>
      </c>
      <c r="D45" s="4">
        <f>'№8 (ведомст.)'!F389</f>
        <v>418.9</v>
      </c>
      <c r="E45" s="4">
        <f>'№8 (ведомст.)'!G389</f>
        <v>418.9</v>
      </c>
    </row>
    <row r="46" spans="1:5" ht="33">
      <c r="A46" s="4"/>
      <c r="B46" s="4"/>
      <c r="C46" s="8" t="s">
        <v>603</v>
      </c>
      <c r="D46" s="54">
        <f>D47</f>
        <v>1274.1</v>
      </c>
      <c r="E46" s="54">
        <f>E47</f>
        <v>1274.1</v>
      </c>
    </row>
    <row r="47" spans="1:5" ht="33">
      <c r="A47" s="9" t="s">
        <v>543</v>
      </c>
      <c r="B47" s="9" t="s">
        <v>16</v>
      </c>
      <c r="C47" s="10" t="s">
        <v>21</v>
      </c>
      <c r="D47" s="4">
        <f>'№8 (ведомст.)'!F391</f>
        <v>1274.1</v>
      </c>
      <c r="E47" s="4">
        <f>'№8 (ведомст.)'!G391</f>
        <v>1274.1</v>
      </c>
    </row>
    <row r="48" spans="1:5" ht="33">
      <c r="A48" s="4"/>
      <c r="B48" s="4"/>
      <c r="C48" s="8" t="s">
        <v>604</v>
      </c>
      <c r="D48" s="29">
        <f>D49</f>
        <v>14.1</v>
      </c>
      <c r="E48" s="29">
        <f>E49</f>
        <v>14.1</v>
      </c>
    </row>
    <row r="49" spans="1:5" ht="12.75">
      <c r="A49" s="9" t="s">
        <v>544</v>
      </c>
      <c r="B49" s="9" t="s">
        <v>37</v>
      </c>
      <c r="C49" s="10" t="s">
        <v>125</v>
      </c>
      <c r="D49" s="4">
        <f>'№8 (ведомст.)'!F207</f>
        <v>14.1</v>
      </c>
      <c r="E49" s="4">
        <f>'№8 (ведомст.)'!G207</f>
        <v>14.1</v>
      </c>
    </row>
    <row r="50" spans="1:5" ht="82.5">
      <c r="A50" s="4"/>
      <c r="B50" s="4"/>
      <c r="C50" s="8" t="s">
        <v>605</v>
      </c>
      <c r="D50" s="29">
        <f>D51</f>
        <v>1.9</v>
      </c>
      <c r="E50" s="29">
        <f>E51</f>
        <v>0.7</v>
      </c>
    </row>
    <row r="51" spans="1:5" ht="12.75">
      <c r="A51" s="12" t="s">
        <v>548</v>
      </c>
      <c r="B51" s="9" t="s">
        <v>37</v>
      </c>
      <c r="C51" s="10" t="s">
        <v>125</v>
      </c>
      <c r="D51" s="4">
        <f>'№8 (ведомст.)'!F65</f>
        <v>1.9</v>
      </c>
      <c r="E51" s="4">
        <f>'№8 (ведомст.)'!G65</f>
        <v>0.7</v>
      </c>
    </row>
  </sheetData>
  <mergeCells count="5">
    <mergeCell ref="A4:D4"/>
    <mergeCell ref="C1:E1"/>
    <mergeCell ref="C2:E2"/>
    <mergeCell ref="C3:E3"/>
    <mergeCell ref="A5:E5"/>
  </mergeCells>
  <printOptions/>
  <pageMargins left="0.5905511811023623" right="0.1968503937007874" top="0" bottom="0" header="0.31496062992125984" footer="0.31496062992125984"/>
  <pageSetup fitToHeight="0" fitToWidth="1" horizontalDpi="600" verticalDpi="600" orientation="portrait" paperSize="9" scale="71" r:id="rId1"/>
</worksheet>
</file>

<file path=xl/worksheets/sheet13.xml><?xml version="1.0" encoding="utf-8"?>
<worksheet xmlns="http://schemas.openxmlformats.org/spreadsheetml/2006/main" xmlns:r="http://schemas.openxmlformats.org/officeDocument/2006/relationships">
  <sheetPr>
    <pageSetUpPr fitToPage="1"/>
  </sheetPr>
  <dimension ref="A1:J12"/>
  <sheetViews>
    <sheetView zoomScale="90" zoomScaleNormal="90" workbookViewId="0" topLeftCell="A1">
      <selection activeCell="L10" sqref="L10"/>
    </sheetView>
  </sheetViews>
  <sheetFormatPr defaultColWidth="9.125" defaultRowHeight="12.75"/>
  <cols>
    <col min="1" max="1" width="51.625" style="2" customWidth="1"/>
    <col min="2" max="2" width="16.25390625" style="24" customWidth="1"/>
    <col min="3" max="3" width="12.375" style="24" customWidth="1"/>
    <col min="4" max="4" width="11.875" style="24" customWidth="1"/>
    <col min="5" max="5" width="32.00390625" style="2" customWidth="1"/>
    <col min="6" max="6" width="9.25390625" style="2" bestFit="1" customWidth="1"/>
    <col min="7" max="7" width="15.00390625" style="2" customWidth="1"/>
    <col min="8" max="8" width="9.25390625" style="2" bestFit="1" customWidth="1"/>
    <col min="9" max="9" width="15.875" style="2" customWidth="1"/>
    <col min="10" max="10" width="14.00390625" style="2" customWidth="1"/>
    <col min="11" max="254" width="9.125" style="2" customWidth="1"/>
    <col min="255" max="255" width="51.625" style="2" customWidth="1"/>
    <col min="256" max="256" width="16.25390625" style="2" customWidth="1"/>
    <col min="257" max="257" width="12.375" style="2" customWidth="1"/>
    <col min="258" max="258" width="11.875" style="2" customWidth="1"/>
    <col min="259" max="259" width="32.00390625" style="2" customWidth="1"/>
    <col min="260" max="260" width="9.25390625" style="2" bestFit="1" customWidth="1"/>
    <col min="261" max="261" width="14.00390625" style="2" customWidth="1"/>
    <col min="262" max="262" width="9.25390625" style="2" bestFit="1" customWidth="1"/>
    <col min="263" max="265" width="13.125" style="2" bestFit="1" customWidth="1"/>
    <col min="266" max="510" width="9.125" style="2" customWidth="1"/>
    <col min="511" max="511" width="51.625" style="2" customWidth="1"/>
    <col min="512" max="512" width="16.25390625" style="2" customWidth="1"/>
    <col min="513" max="513" width="12.375" style="2" customWidth="1"/>
    <col min="514" max="514" width="11.875" style="2" customWidth="1"/>
    <col min="515" max="515" width="32.00390625" style="2" customWidth="1"/>
    <col min="516" max="516" width="9.25390625" style="2" bestFit="1" customWidth="1"/>
    <col min="517" max="517" width="14.00390625" style="2" customWidth="1"/>
    <col min="518" max="518" width="9.25390625" style="2" bestFit="1" customWidth="1"/>
    <col min="519" max="521" width="13.125" style="2" bestFit="1" customWidth="1"/>
    <col min="522" max="766" width="9.125" style="2" customWidth="1"/>
    <col min="767" max="767" width="51.625" style="2" customWidth="1"/>
    <col min="768" max="768" width="16.25390625" style="2" customWidth="1"/>
    <col min="769" max="769" width="12.375" style="2" customWidth="1"/>
    <col min="770" max="770" width="11.875" style="2" customWidth="1"/>
    <col min="771" max="771" width="32.00390625" style="2" customWidth="1"/>
    <col min="772" max="772" width="9.25390625" style="2" bestFit="1" customWidth="1"/>
    <col min="773" max="773" width="14.00390625" style="2" customWidth="1"/>
    <col min="774" max="774" width="9.25390625" style="2" bestFit="1" customWidth="1"/>
    <col min="775" max="777" width="13.125" style="2" bestFit="1" customWidth="1"/>
    <col min="778" max="1022" width="9.125" style="2" customWidth="1"/>
    <col min="1023" max="1023" width="51.625" style="2" customWidth="1"/>
    <col min="1024" max="1024" width="16.25390625" style="2" customWidth="1"/>
    <col min="1025" max="1025" width="12.375" style="2" customWidth="1"/>
    <col min="1026" max="1026" width="11.875" style="2" customWidth="1"/>
    <col min="1027" max="1027" width="32.00390625" style="2" customWidth="1"/>
    <col min="1028" max="1028" width="9.25390625" style="2" bestFit="1" customWidth="1"/>
    <col min="1029" max="1029" width="14.00390625" style="2" customWidth="1"/>
    <col min="1030" max="1030" width="9.25390625" style="2" bestFit="1" customWidth="1"/>
    <col min="1031" max="1033" width="13.125" style="2" bestFit="1" customWidth="1"/>
    <col min="1034" max="1278" width="9.125" style="2" customWidth="1"/>
    <col min="1279" max="1279" width="51.625" style="2" customWidth="1"/>
    <col min="1280" max="1280" width="16.25390625" style="2" customWidth="1"/>
    <col min="1281" max="1281" width="12.375" style="2" customWidth="1"/>
    <col min="1282" max="1282" width="11.875" style="2" customWidth="1"/>
    <col min="1283" max="1283" width="32.00390625" style="2" customWidth="1"/>
    <col min="1284" max="1284" width="9.25390625" style="2" bestFit="1" customWidth="1"/>
    <col min="1285" max="1285" width="14.00390625" style="2" customWidth="1"/>
    <col min="1286" max="1286" width="9.25390625" style="2" bestFit="1" customWidth="1"/>
    <col min="1287" max="1289" width="13.125" style="2" bestFit="1" customWidth="1"/>
    <col min="1290" max="1534" width="9.125" style="2" customWidth="1"/>
    <col min="1535" max="1535" width="51.625" style="2" customWidth="1"/>
    <col min="1536" max="1536" width="16.25390625" style="2" customWidth="1"/>
    <col min="1537" max="1537" width="12.375" style="2" customWidth="1"/>
    <col min="1538" max="1538" width="11.875" style="2" customWidth="1"/>
    <col min="1539" max="1539" width="32.00390625" style="2" customWidth="1"/>
    <col min="1540" max="1540" width="9.25390625" style="2" bestFit="1" customWidth="1"/>
    <col min="1541" max="1541" width="14.00390625" style="2" customWidth="1"/>
    <col min="1542" max="1542" width="9.25390625" style="2" bestFit="1" customWidth="1"/>
    <col min="1543" max="1545" width="13.125" style="2" bestFit="1" customWidth="1"/>
    <col min="1546" max="1790" width="9.125" style="2" customWidth="1"/>
    <col min="1791" max="1791" width="51.625" style="2" customWidth="1"/>
    <col min="1792" max="1792" width="16.25390625" style="2" customWidth="1"/>
    <col min="1793" max="1793" width="12.375" style="2" customWidth="1"/>
    <col min="1794" max="1794" width="11.875" style="2" customWidth="1"/>
    <col min="1795" max="1795" width="32.00390625" style="2" customWidth="1"/>
    <col min="1796" max="1796" width="9.25390625" style="2" bestFit="1" customWidth="1"/>
    <col min="1797" max="1797" width="14.00390625" style="2" customWidth="1"/>
    <col min="1798" max="1798" width="9.25390625" style="2" bestFit="1" customWidth="1"/>
    <col min="1799" max="1801" width="13.125" style="2" bestFit="1" customWidth="1"/>
    <col min="1802" max="2046" width="9.125" style="2" customWidth="1"/>
    <col min="2047" max="2047" width="51.625" style="2" customWidth="1"/>
    <col min="2048" max="2048" width="16.25390625" style="2" customWidth="1"/>
    <col min="2049" max="2049" width="12.375" style="2" customWidth="1"/>
    <col min="2050" max="2050" width="11.875" style="2" customWidth="1"/>
    <col min="2051" max="2051" width="32.00390625" style="2" customWidth="1"/>
    <col min="2052" max="2052" width="9.25390625" style="2" bestFit="1" customWidth="1"/>
    <col min="2053" max="2053" width="14.00390625" style="2" customWidth="1"/>
    <col min="2054" max="2054" width="9.25390625" style="2" bestFit="1" customWidth="1"/>
    <col min="2055" max="2057" width="13.125" style="2" bestFit="1" customWidth="1"/>
    <col min="2058" max="2302" width="9.125" style="2" customWidth="1"/>
    <col min="2303" max="2303" width="51.625" style="2" customWidth="1"/>
    <col min="2304" max="2304" width="16.25390625" style="2" customWidth="1"/>
    <col min="2305" max="2305" width="12.375" style="2" customWidth="1"/>
    <col min="2306" max="2306" width="11.875" style="2" customWidth="1"/>
    <col min="2307" max="2307" width="32.00390625" style="2" customWidth="1"/>
    <col min="2308" max="2308" width="9.25390625" style="2" bestFit="1" customWidth="1"/>
    <col min="2309" max="2309" width="14.00390625" style="2" customWidth="1"/>
    <col min="2310" max="2310" width="9.25390625" style="2" bestFit="1" customWidth="1"/>
    <col min="2311" max="2313" width="13.125" style="2" bestFit="1" customWidth="1"/>
    <col min="2314" max="2558" width="9.125" style="2" customWidth="1"/>
    <col min="2559" max="2559" width="51.625" style="2" customWidth="1"/>
    <col min="2560" max="2560" width="16.25390625" style="2" customWidth="1"/>
    <col min="2561" max="2561" width="12.375" style="2" customWidth="1"/>
    <col min="2562" max="2562" width="11.875" style="2" customWidth="1"/>
    <col min="2563" max="2563" width="32.00390625" style="2" customWidth="1"/>
    <col min="2564" max="2564" width="9.25390625" style="2" bestFit="1" customWidth="1"/>
    <col min="2565" max="2565" width="14.00390625" style="2" customWidth="1"/>
    <col min="2566" max="2566" width="9.25390625" style="2" bestFit="1" customWidth="1"/>
    <col min="2567" max="2569" width="13.125" style="2" bestFit="1" customWidth="1"/>
    <col min="2570" max="2814" width="9.125" style="2" customWidth="1"/>
    <col min="2815" max="2815" width="51.625" style="2" customWidth="1"/>
    <col min="2816" max="2816" width="16.25390625" style="2" customWidth="1"/>
    <col min="2817" max="2817" width="12.375" style="2" customWidth="1"/>
    <col min="2818" max="2818" width="11.875" style="2" customWidth="1"/>
    <col min="2819" max="2819" width="32.00390625" style="2" customWidth="1"/>
    <col min="2820" max="2820" width="9.25390625" style="2" bestFit="1" customWidth="1"/>
    <col min="2821" max="2821" width="14.00390625" style="2" customWidth="1"/>
    <col min="2822" max="2822" width="9.25390625" style="2" bestFit="1" customWidth="1"/>
    <col min="2823" max="2825" width="13.125" style="2" bestFit="1" customWidth="1"/>
    <col min="2826" max="3070" width="9.125" style="2" customWidth="1"/>
    <col min="3071" max="3071" width="51.625" style="2" customWidth="1"/>
    <col min="3072" max="3072" width="16.25390625" style="2" customWidth="1"/>
    <col min="3073" max="3073" width="12.375" style="2" customWidth="1"/>
    <col min="3074" max="3074" width="11.875" style="2" customWidth="1"/>
    <col min="3075" max="3075" width="32.00390625" style="2" customWidth="1"/>
    <col min="3076" max="3076" width="9.25390625" style="2" bestFit="1" customWidth="1"/>
    <col min="3077" max="3077" width="14.00390625" style="2" customWidth="1"/>
    <col min="3078" max="3078" width="9.25390625" style="2" bestFit="1" customWidth="1"/>
    <col min="3079" max="3081" width="13.125" style="2" bestFit="1" customWidth="1"/>
    <col min="3082" max="3326" width="9.125" style="2" customWidth="1"/>
    <col min="3327" max="3327" width="51.625" style="2" customWidth="1"/>
    <col min="3328" max="3328" width="16.25390625" style="2" customWidth="1"/>
    <col min="3329" max="3329" width="12.375" style="2" customWidth="1"/>
    <col min="3330" max="3330" width="11.875" style="2" customWidth="1"/>
    <col min="3331" max="3331" width="32.00390625" style="2" customWidth="1"/>
    <col min="3332" max="3332" width="9.25390625" style="2" bestFit="1" customWidth="1"/>
    <col min="3333" max="3333" width="14.00390625" style="2" customWidth="1"/>
    <col min="3334" max="3334" width="9.25390625" style="2" bestFit="1" customWidth="1"/>
    <col min="3335" max="3337" width="13.125" style="2" bestFit="1" customWidth="1"/>
    <col min="3338" max="3582" width="9.125" style="2" customWidth="1"/>
    <col min="3583" max="3583" width="51.625" style="2" customWidth="1"/>
    <col min="3584" max="3584" width="16.25390625" style="2" customWidth="1"/>
    <col min="3585" max="3585" width="12.375" style="2" customWidth="1"/>
    <col min="3586" max="3586" width="11.875" style="2" customWidth="1"/>
    <col min="3587" max="3587" width="32.00390625" style="2" customWidth="1"/>
    <col min="3588" max="3588" width="9.25390625" style="2" bestFit="1" customWidth="1"/>
    <col min="3589" max="3589" width="14.00390625" style="2" customWidth="1"/>
    <col min="3590" max="3590" width="9.25390625" style="2" bestFit="1" customWidth="1"/>
    <col min="3591" max="3593" width="13.125" style="2" bestFit="1" customWidth="1"/>
    <col min="3594" max="3838" width="9.125" style="2" customWidth="1"/>
    <col min="3839" max="3839" width="51.625" style="2" customWidth="1"/>
    <col min="3840" max="3840" width="16.25390625" style="2" customWidth="1"/>
    <col min="3841" max="3841" width="12.375" style="2" customWidth="1"/>
    <col min="3842" max="3842" width="11.875" style="2" customWidth="1"/>
    <col min="3843" max="3843" width="32.00390625" style="2" customWidth="1"/>
    <col min="3844" max="3844" width="9.25390625" style="2" bestFit="1" customWidth="1"/>
    <col min="3845" max="3845" width="14.00390625" style="2" customWidth="1"/>
    <col min="3846" max="3846" width="9.25390625" style="2" bestFit="1" customWidth="1"/>
    <col min="3847" max="3849" width="13.125" style="2" bestFit="1" customWidth="1"/>
    <col min="3850" max="4094" width="9.125" style="2" customWidth="1"/>
    <col min="4095" max="4095" width="51.625" style="2" customWidth="1"/>
    <col min="4096" max="4096" width="16.25390625" style="2" customWidth="1"/>
    <col min="4097" max="4097" width="12.375" style="2" customWidth="1"/>
    <col min="4098" max="4098" width="11.875" style="2" customWidth="1"/>
    <col min="4099" max="4099" width="32.00390625" style="2" customWidth="1"/>
    <col min="4100" max="4100" width="9.25390625" style="2" bestFit="1" customWidth="1"/>
    <col min="4101" max="4101" width="14.00390625" style="2" customWidth="1"/>
    <col min="4102" max="4102" width="9.25390625" style="2" bestFit="1" customWidth="1"/>
    <col min="4103" max="4105" width="13.125" style="2" bestFit="1" customWidth="1"/>
    <col min="4106" max="4350" width="9.125" style="2" customWidth="1"/>
    <col min="4351" max="4351" width="51.625" style="2" customWidth="1"/>
    <col min="4352" max="4352" width="16.25390625" style="2" customWidth="1"/>
    <col min="4353" max="4353" width="12.375" style="2" customWidth="1"/>
    <col min="4354" max="4354" width="11.875" style="2" customWidth="1"/>
    <col min="4355" max="4355" width="32.00390625" style="2" customWidth="1"/>
    <col min="4356" max="4356" width="9.25390625" style="2" bestFit="1" customWidth="1"/>
    <col min="4357" max="4357" width="14.00390625" style="2" customWidth="1"/>
    <col min="4358" max="4358" width="9.25390625" style="2" bestFit="1" customWidth="1"/>
    <col min="4359" max="4361" width="13.125" style="2" bestFit="1" customWidth="1"/>
    <col min="4362" max="4606" width="9.125" style="2" customWidth="1"/>
    <col min="4607" max="4607" width="51.625" style="2" customWidth="1"/>
    <col min="4608" max="4608" width="16.25390625" style="2" customWidth="1"/>
    <col min="4609" max="4609" width="12.375" style="2" customWidth="1"/>
    <col min="4610" max="4610" width="11.875" style="2" customWidth="1"/>
    <col min="4611" max="4611" width="32.00390625" style="2" customWidth="1"/>
    <col min="4612" max="4612" width="9.25390625" style="2" bestFit="1" customWidth="1"/>
    <col min="4613" max="4613" width="14.00390625" style="2" customWidth="1"/>
    <col min="4614" max="4614" width="9.25390625" style="2" bestFit="1" customWidth="1"/>
    <col min="4615" max="4617" width="13.125" style="2" bestFit="1" customWidth="1"/>
    <col min="4618" max="4862" width="9.125" style="2" customWidth="1"/>
    <col min="4863" max="4863" width="51.625" style="2" customWidth="1"/>
    <col min="4864" max="4864" width="16.25390625" style="2" customWidth="1"/>
    <col min="4865" max="4865" width="12.375" style="2" customWidth="1"/>
    <col min="4866" max="4866" width="11.875" style="2" customWidth="1"/>
    <col min="4867" max="4867" width="32.00390625" style="2" customWidth="1"/>
    <col min="4868" max="4868" width="9.25390625" style="2" bestFit="1" customWidth="1"/>
    <col min="4869" max="4869" width="14.00390625" style="2" customWidth="1"/>
    <col min="4870" max="4870" width="9.25390625" style="2" bestFit="1" customWidth="1"/>
    <col min="4871" max="4873" width="13.125" style="2" bestFit="1" customWidth="1"/>
    <col min="4874" max="5118" width="9.125" style="2" customWidth="1"/>
    <col min="5119" max="5119" width="51.625" style="2" customWidth="1"/>
    <col min="5120" max="5120" width="16.25390625" style="2" customWidth="1"/>
    <col min="5121" max="5121" width="12.375" style="2" customWidth="1"/>
    <col min="5122" max="5122" width="11.875" style="2" customWidth="1"/>
    <col min="5123" max="5123" width="32.00390625" style="2" customWidth="1"/>
    <col min="5124" max="5124" width="9.25390625" style="2" bestFit="1" customWidth="1"/>
    <col min="5125" max="5125" width="14.00390625" style="2" customWidth="1"/>
    <col min="5126" max="5126" width="9.25390625" style="2" bestFit="1" customWidth="1"/>
    <col min="5127" max="5129" width="13.125" style="2" bestFit="1" customWidth="1"/>
    <col min="5130" max="5374" width="9.125" style="2" customWidth="1"/>
    <col min="5375" max="5375" width="51.625" style="2" customWidth="1"/>
    <col min="5376" max="5376" width="16.25390625" style="2" customWidth="1"/>
    <col min="5377" max="5377" width="12.375" style="2" customWidth="1"/>
    <col min="5378" max="5378" width="11.875" style="2" customWidth="1"/>
    <col min="5379" max="5379" width="32.00390625" style="2" customWidth="1"/>
    <col min="5380" max="5380" width="9.25390625" style="2" bestFit="1" customWidth="1"/>
    <col min="5381" max="5381" width="14.00390625" style="2" customWidth="1"/>
    <col min="5382" max="5382" width="9.25390625" style="2" bestFit="1" customWidth="1"/>
    <col min="5383" max="5385" width="13.125" style="2" bestFit="1" customWidth="1"/>
    <col min="5386" max="5630" width="9.125" style="2" customWidth="1"/>
    <col min="5631" max="5631" width="51.625" style="2" customWidth="1"/>
    <col min="5632" max="5632" width="16.25390625" style="2" customWidth="1"/>
    <col min="5633" max="5633" width="12.375" style="2" customWidth="1"/>
    <col min="5634" max="5634" width="11.875" style="2" customWidth="1"/>
    <col min="5635" max="5635" width="32.00390625" style="2" customWidth="1"/>
    <col min="5636" max="5636" width="9.25390625" style="2" bestFit="1" customWidth="1"/>
    <col min="5637" max="5637" width="14.00390625" style="2" customWidth="1"/>
    <col min="5638" max="5638" width="9.25390625" style="2" bestFit="1" customWidth="1"/>
    <col min="5639" max="5641" width="13.125" style="2" bestFit="1" customWidth="1"/>
    <col min="5642" max="5886" width="9.125" style="2" customWidth="1"/>
    <col min="5887" max="5887" width="51.625" style="2" customWidth="1"/>
    <col min="5888" max="5888" width="16.25390625" style="2" customWidth="1"/>
    <col min="5889" max="5889" width="12.375" style="2" customWidth="1"/>
    <col min="5890" max="5890" width="11.875" style="2" customWidth="1"/>
    <col min="5891" max="5891" width="32.00390625" style="2" customWidth="1"/>
    <col min="5892" max="5892" width="9.25390625" style="2" bestFit="1" customWidth="1"/>
    <col min="5893" max="5893" width="14.00390625" style="2" customWidth="1"/>
    <col min="5894" max="5894" width="9.25390625" style="2" bestFit="1" customWidth="1"/>
    <col min="5895" max="5897" width="13.125" style="2" bestFit="1" customWidth="1"/>
    <col min="5898" max="6142" width="9.125" style="2" customWidth="1"/>
    <col min="6143" max="6143" width="51.625" style="2" customWidth="1"/>
    <col min="6144" max="6144" width="16.25390625" style="2" customWidth="1"/>
    <col min="6145" max="6145" width="12.375" style="2" customWidth="1"/>
    <col min="6146" max="6146" width="11.875" style="2" customWidth="1"/>
    <col min="6147" max="6147" width="32.00390625" style="2" customWidth="1"/>
    <col min="6148" max="6148" width="9.25390625" style="2" bestFit="1" customWidth="1"/>
    <col min="6149" max="6149" width="14.00390625" style="2" customWidth="1"/>
    <col min="6150" max="6150" width="9.25390625" style="2" bestFit="1" customWidth="1"/>
    <col min="6151" max="6153" width="13.125" style="2" bestFit="1" customWidth="1"/>
    <col min="6154" max="6398" width="9.125" style="2" customWidth="1"/>
    <col min="6399" max="6399" width="51.625" style="2" customWidth="1"/>
    <col min="6400" max="6400" width="16.25390625" style="2" customWidth="1"/>
    <col min="6401" max="6401" width="12.375" style="2" customWidth="1"/>
    <col min="6402" max="6402" width="11.875" style="2" customWidth="1"/>
    <col min="6403" max="6403" width="32.00390625" style="2" customWidth="1"/>
    <col min="6404" max="6404" width="9.25390625" style="2" bestFit="1" customWidth="1"/>
    <col min="6405" max="6405" width="14.00390625" style="2" customWidth="1"/>
    <col min="6406" max="6406" width="9.25390625" style="2" bestFit="1" customWidth="1"/>
    <col min="6407" max="6409" width="13.125" style="2" bestFit="1" customWidth="1"/>
    <col min="6410" max="6654" width="9.125" style="2" customWidth="1"/>
    <col min="6655" max="6655" width="51.625" style="2" customWidth="1"/>
    <col min="6656" max="6656" width="16.25390625" style="2" customWidth="1"/>
    <col min="6657" max="6657" width="12.375" style="2" customWidth="1"/>
    <col min="6658" max="6658" width="11.875" style="2" customWidth="1"/>
    <col min="6659" max="6659" width="32.00390625" style="2" customWidth="1"/>
    <col min="6660" max="6660" width="9.25390625" style="2" bestFit="1" customWidth="1"/>
    <col min="6661" max="6661" width="14.00390625" style="2" customWidth="1"/>
    <col min="6662" max="6662" width="9.25390625" style="2" bestFit="1" customWidth="1"/>
    <col min="6663" max="6665" width="13.125" style="2" bestFit="1" customWidth="1"/>
    <col min="6666" max="6910" width="9.125" style="2" customWidth="1"/>
    <col min="6911" max="6911" width="51.625" style="2" customWidth="1"/>
    <col min="6912" max="6912" width="16.25390625" style="2" customWidth="1"/>
    <col min="6913" max="6913" width="12.375" style="2" customWidth="1"/>
    <col min="6914" max="6914" width="11.875" style="2" customWidth="1"/>
    <col min="6915" max="6915" width="32.00390625" style="2" customWidth="1"/>
    <col min="6916" max="6916" width="9.25390625" style="2" bestFit="1" customWidth="1"/>
    <col min="6917" max="6917" width="14.00390625" style="2" customWidth="1"/>
    <col min="6918" max="6918" width="9.25390625" style="2" bestFit="1" customWidth="1"/>
    <col min="6919" max="6921" width="13.125" style="2" bestFit="1" customWidth="1"/>
    <col min="6922" max="7166" width="9.125" style="2" customWidth="1"/>
    <col min="7167" max="7167" width="51.625" style="2" customWidth="1"/>
    <col min="7168" max="7168" width="16.25390625" style="2" customWidth="1"/>
    <col min="7169" max="7169" width="12.375" style="2" customWidth="1"/>
    <col min="7170" max="7170" width="11.875" style="2" customWidth="1"/>
    <col min="7171" max="7171" width="32.00390625" style="2" customWidth="1"/>
    <col min="7172" max="7172" width="9.25390625" style="2" bestFit="1" customWidth="1"/>
    <col min="7173" max="7173" width="14.00390625" style="2" customWidth="1"/>
    <col min="7174" max="7174" width="9.25390625" style="2" bestFit="1" customWidth="1"/>
    <col min="7175" max="7177" width="13.125" style="2" bestFit="1" customWidth="1"/>
    <col min="7178" max="7422" width="9.125" style="2" customWidth="1"/>
    <col min="7423" max="7423" width="51.625" style="2" customWidth="1"/>
    <col min="7424" max="7424" width="16.25390625" style="2" customWidth="1"/>
    <col min="7425" max="7425" width="12.375" style="2" customWidth="1"/>
    <col min="7426" max="7426" width="11.875" style="2" customWidth="1"/>
    <col min="7427" max="7427" width="32.00390625" style="2" customWidth="1"/>
    <col min="7428" max="7428" width="9.25390625" style="2" bestFit="1" customWidth="1"/>
    <col min="7429" max="7429" width="14.00390625" style="2" customWidth="1"/>
    <col min="7430" max="7430" width="9.25390625" style="2" bestFit="1" customWidth="1"/>
    <col min="7431" max="7433" width="13.125" style="2" bestFit="1" customWidth="1"/>
    <col min="7434" max="7678" width="9.125" style="2" customWidth="1"/>
    <col min="7679" max="7679" width="51.625" style="2" customWidth="1"/>
    <col min="7680" max="7680" width="16.25390625" style="2" customWidth="1"/>
    <col min="7681" max="7681" width="12.375" style="2" customWidth="1"/>
    <col min="7682" max="7682" width="11.875" style="2" customWidth="1"/>
    <col min="7683" max="7683" width="32.00390625" style="2" customWidth="1"/>
    <col min="7684" max="7684" width="9.25390625" style="2" bestFit="1" customWidth="1"/>
    <col min="7685" max="7685" width="14.00390625" style="2" customWidth="1"/>
    <col min="7686" max="7686" width="9.25390625" style="2" bestFit="1" customWidth="1"/>
    <col min="7687" max="7689" width="13.125" style="2" bestFit="1" customWidth="1"/>
    <col min="7690" max="7934" width="9.125" style="2" customWidth="1"/>
    <col min="7935" max="7935" width="51.625" style="2" customWidth="1"/>
    <col min="7936" max="7936" width="16.25390625" style="2" customWidth="1"/>
    <col min="7937" max="7937" width="12.375" style="2" customWidth="1"/>
    <col min="7938" max="7938" width="11.875" style="2" customWidth="1"/>
    <col min="7939" max="7939" width="32.00390625" style="2" customWidth="1"/>
    <col min="7940" max="7940" width="9.25390625" style="2" bestFit="1" customWidth="1"/>
    <col min="7941" max="7941" width="14.00390625" style="2" customWidth="1"/>
    <col min="7942" max="7942" width="9.25390625" style="2" bestFit="1" customWidth="1"/>
    <col min="7943" max="7945" width="13.125" style="2" bestFit="1" customWidth="1"/>
    <col min="7946" max="8190" width="9.125" style="2" customWidth="1"/>
    <col min="8191" max="8191" width="51.625" style="2" customWidth="1"/>
    <col min="8192" max="8192" width="16.25390625" style="2" customWidth="1"/>
    <col min="8193" max="8193" width="12.375" style="2" customWidth="1"/>
    <col min="8194" max="8194" width="11.875" style="2" customWidth="1"/>
    <col min="8195" max="8195" width="32.00390625" style="2" customWidth="1"/>
    <col min="8196" max="8196" width="9.25390625" style="2" bestFit="1" customWidth="1"/>
    <col min="8197" max="8197" width="14.00390625" style="2" customWidth="1"/>
    <col min="8198" max="8198" width="9.25390625" style="2" bestFit="1" customWidth="1"/>
    <col min="8199" max="8201" width="13.125" style="2" bestFit="1" customWidth="1"/>
    <col min="8202" max="8446" width="9.125" style="2" customWidth="1"/>
    <col min="8447" max="8447" width="51.625" style="2" customWidth="1"/>
    <col min="8448" max="8448" width="16.25390625" style="2" customWidth="1"/>
    <col min="8449" max="8449" width="12.375" style="2" customWidth="1"/>
    <col min="8450" max="8450" width="11.875" style="2" customWidth="1"/>
    <col min="8451" max="8451" width="32.00390625" style="2" customWidth="1"/>
    <col min="8452" max="8452" width="9.25390625" style="2" bestFit="1" customWidth="1"/>
    <col min="8453" max="8453" width="14.00390625" style="2" customWidth="1"/>
    <col min="8454" max="8454" width="9.25390625" style="2" bestFit="1" customWidth="1"/>
    <col min="8455" max="8457" width="13.125" style="2" bestFit="1" customWidth="1"/>
    <col min="8458" max="8702" width="9.125" style="2" customWidth="1"/>
    <col min="8703" max="8703" width="51.625" style="2" customWidth="1"/>
    <col min="8704" max="8704" width="16.25390625" style="2" customWidth="1"/>
    <col min="8705" max="8705" width="12.375" style="2" customWidth="1"/>
    <col min="8706" max="8706" width="11.875" style="2" customWidth="1"/>
    <col min="8707" max="8707" width="32.00390625" style="2" customWidth="1"/>
    <col min="8708" max="8708" width="9.25390625" style="2" bestFit="1" customWidth="1"/>
    <col min="8709" max="8709" width="14.00390625" style="2" customWidth="1"/>
    <col min="8710" max="8710" width="9.25390625" style="2" bestFit="1" customWidth="1"/>
    <col min="8711" max="8713" width="13.125" style="2" bestFit="1" customWidth="1"/>
    <col min="8714" max="8958" width="9.125" style="2" customWidth="1"/>
    <col min="8959" max="8959" width="51.625" style="2" customWidth="1"/>
    <col min="8960" max="8960" width="16.25390625" style="2" customWidth="1"/>
    <col min="8961" max="8961" width="12.375" style="2" customWidth="1"/>
    <col min="8962" max="8962" width="11.875" style="2" customWidth="1"/>
    <col min="8963" max="8963" width="32.00390625" style="2" customWidth="1"/>
    <col min="8964" max="8964" width="9.25390625" style="2" bestFit="1" customWidth="1"/>
    <col min="8965" max="8965" width="14.00390625" style="2" customWidth="1"/>
    <col min="8966" max="8966" width="9.25390625" style="2" bestFit="1" customWidth="1"/>
    <col min="8967" max="8969" width="13.125" style="2" bestFit="1" customWidth="1"/>
    <col min="8970" max="9214" width="9.125" style="2" customWidth="1"/>
    <col min="9215" max="9215" width="51.625" style="2" customWidth="1"/>
    <col min="9216" max="9216" width="16.25390625" style="2" customWidth="1"/>
    <col min="9217" max="9217" width="12.375" style="2" customWidth="1"/>
    <col min="9218" max="9218" width="11.875" style="2" customWidth="1"/>
    <col min="9219" max="9219" width="32.00390625" style="2" customWidth="1"/>
    <col min="9220" max="9220" width="9.25390625" style="2" bestFit="1" customWidth="1"/>
    <col min="9221" max="9221" width="14.00390625" style="2" customWidth="1"/>
    <col min="9222" max="9222" width="9.25390625" style="2" bestFit="1" customWidth="1"/>
    <col min="9223" max="9225" width="13.125" style="2" bestFit="1" customWidth="1"/>
    <col min="9226" max="9470" width="9.125" style="2" customWidth="1"/>
    <col min="9471" max="9471" width="51.625" style="2" customWidth="1"/>
    <col min="9472" max="9472" width="16.25390625" style="2" customWidth="1"/>
    <col min="9473" max="9473" width="12.375" style="2" customWidth="1"/>
    <col min="9474" max="9474" width="11.875" style="2" customWidth="1"/>
    <col min="9475" max="9475" width="32.00390625" style="2" customWidth="1"/>
    <col min="9476" max="9476" width="9.25390625" style="2" bestFit="1" customWidth="1"/>
    <col min="9477" max="9477" width="14.00390625" style="2" customWidth="1"/>
    <col min="9478" max="9478" width="9.25390625" style="2" bestFit="1" customWidth="1"/>
    <col min="9479" max="9481" width="13.125" style="2" bestFit="1" customWidth="1"/>
    <col min="9482" max="9726" width="9.125" style="2" customWidth="1"/>
    <col min="9727" max="9727" width="51.625" style="2" customWidth="1"/>
    <col min="9728" max="9728" width="16.25390625" style="2" customWidth="1"/>
    <col min="9729" max="9729" width="12.375" style="2" customWidth="1"/>
    <col min="9730" max="9730" width="11.875" style="2" customWidth="1"/>
    <col min="9731" max="9731" width="32.00390625" style="2" customWidth="1"/>
    <col min="9732" max="9732" width="9.25390625" style="2" bestFit="1" customWidth="1"/>
    <col min="9733" max="9733" width="14.00390625" style="2" customWidth="1"/>
    <col min="9734" max="9734" width="9.25390625" style="2" bestFit="1" customWidth="1"/>
    <col min="9735" max="9737" width="13.125" style="2" bestFit="1" customWidth="1"/>
    <col min="9738" max="9982" width="9.125" style="2" customWidth="1"/>
    <col min="9983" max="9983" width="51.625" style="2" customWidth="1"/>
    <col min="9984" max="9984" width="16.25390625" style="2" customWidth="1"/>
    <col min="9985" max="9985" width="12.375" style="2" customWidth="1"/>
    <col min="9986" max="9986" width="11.875" style="2" customWidth="1"/>
    <col min="9987" max="9987" width="32.00390625" style="2" customWidth="1"/>
    <col min="9988" max="9988" width="9.25390625" style="2" bestFit="1" customWidth="1"/>
    <col min="9989" max="9989" width="14.00390625" style="2" customWidth="1"/>
    <col min="9990" max="9990" width="9.25390625" style="2" bestFit="1" customWidth="1"/>
    <col min="9991" max="9993" width="13.125" style="2" bestFit="1" customWidth="1"/>
    <col min="9994" max="10238" width="9.125" style="2" customWidth="1"/>
    <col min="10239" max="10239" width="51.625" style="2" customWidth="1"/>
    <col min="10240" max="10240" width="16.25390625" style="2" customWidth="1"/>
    <col min="10241" max="10241" width="12.375" style="2" customWidth="1"/>
    <col min="10242" max="10242" width="11.875" style="2" customWidth="1"/>
    <col min="10243" max="10243" width="32.00390625" style="2" customWidth="1"/>
    <col min="10244" max="10244" width="9.25390625" style="2" bestFit="1" customWidth="1"/>
    <col min="10245" max="10245" width="14.00390625" style="2" customWidth="1"/>
    <col min="10246" max="10246" width="9.25390625" style="2" bestFit="1" customWidth="1"/>
    <col min="10247" max="10249" width="13.125" style="2" bestFit="1" customWidth="1"/>
    <col min="10250" max="10494" width="9.125" style="2" customWidth="1"/>
    <col min="10495" max="10495" width="51.625" style="2" customWidth="1"/>
    <col min="10496" max="10496" width="16.25390625" style="2" customWidth="1"/>
    <col min="10497" max="10497" width="12.375" style="2" customWidth="1"/>
    <col min="10498" max="10498" width="11.875" style="2" customWidth="1"/>
    <col min="10499" max="10499" width="32.00390625" style="2" customWidth="1"/>
    <col min="10500" max="10500" width="9.25390625" style="2" bestFit="1" customWidth="1"/>
    <col min="10501" max="10501" width="14.00390625" style="2" customWidth="1"/>
    <col min="10502" max="10502" width="9.25390625" style="2" bestFit="1" customWidth="1"/>
    <col min="10503" max="10505" width="13.125" style="2" bestFit="1" customWidth="1"/>
    <col min="10506" max="10750" width="9.125" style="2" customWidth="1"/>
    <col min="10751" max="10751" width="51.625" style="2" customWidth="1"/>
    <col min="10752" max="10752" width="16.25390625" style="2" customWidth="1"/>
    <col min="10753" max="10753" width="12.375" style="2" customWidth="1"/>
    <col min="10754" max="10754" width="11.875" style="2" customWidth="1"/>
    <col min="10755" max="10755" width="32.00390625" style="2" customWidth="1"/>
    <col min="10756" max="10756" width="9.25390625" style="2" bestFit="1" customWidth="1"/>
    <col min="10757" max="10757" width="14.00390625" style="2" customWidth="1"/>
    <col min="10758" max="10758" width="9.25390625" style="2" bestFit="1" customWidth="1"/>
    <col min="10759" max="10761" width="13.125" style="2" bestFit="1" customWidth="1"/>
    <col min="10762" max="11006" width="9.125" style="2" customWidth="1"/>
    <col min="11007" max="11007" width="51.625" style="2" customWidth="1"/>
    <col min="11008" max="11008" width="16.25390625" style="2" customWidth="1"/>
    <col min="11009" max="11009" width="12.375" style="2" customWidth="1"/>
    <col min="11010" max="11010" width="11.875" style="2" customWidth="1"/>
    <col min="11011" max="11011" width="32.00390625" style="2" customWidth="1"/>
    <col min="11012" max="11012" width="9.25390625" style="2" bestFit="1" customWidth="1"/>
    <col min="11013" max="11013" width="14.00390625" style="2" customWidth="1"/>
    <col min="11014" max="11014" width="9.25390625" style="2" bestFit="1" customWidth="1"/>
    <col min="11015" max="11017" width="13.125" style="2" bestFit="1" customWidth="1"/>
    <col min="11018" max="11262" width="9.125" style="2" customWidth="1"/>
    <col min="11263" max="11263" width="51.625" style="2" customWidth="1"/>
    <col min="11264" max="11264" width="16.25390625" style="2" customWidth="1"/>
    <col min="11265" max="11265" width="12.375" style="2" customWidth="1"/>
    <col min="11266" max="11266" width="11.875" style="2" customWidth="1"/>
    <col min="11267" max="11267" width="32.00390625" style="2" customWidth="1"/>
    <col min="11268" max="11268" width="9.25390625" style="2" bestFit="1" customWidth="1"/>
    <col min="11269" max="11269" width="14.00390625" style="2" customWidth="1"/>
    <col min="11270" max="11270" width="9.25390625" style="2" bestFit="1" customWidth="1"/>
    <col min="11271" max="11273" width="13.125" style="2" bestFit="1" customWidth="1"/>
    <col min="11274" max="11518" width="9.125" style="2" customWidth="1"/>
    <col min="11519" max="11519" width="51.625" style="2" customWidth="1"/>
    <col min="11520" max="11520" width="16.25390625" style="2" customWidth="1"/>
    <col min="11521" max="11521" width="12.375" style="2" customWidth="1"/>
    <col min="11522" max="11522" width="11.875" style="2" customWidth="1"/>
    <col min="11523" max="11523" width="32.00390625" style="2" customWidth="1"/>
    <col min="11524" max="11524" width="9.25390625" style="2" bestFit="1" customWidth="1"/>
    <col min="11525" max="11525" width="14.00390625" style="2" customWidth="1"/>
    <col min="11526" max="11526" width="9.25390625" style="2" bestFit="1" customWidth="1"/>
    <col min="11527" max="11529" width="13.125" style="2" bestFit="1" customWidth="1"/>
    <col min="11530" max="11774" width="9.125" style="2" customWidth="1"/>
    <col min="11775" max="11775" width="51.625" style="2" customWidth="1"/>
    <col min="11776" max="11776" width="16.25390625" style="2" customWidth="1"/>
    <col min="11777" max="11777" width="12.375" style="2" customWidth="1"/>
    <col min="11778" max="11778" width="11.875" style="2" customWidth="1"/>
    <col min="11779" max="11779" width="32.00390625" style="2" customWidth="1"/>
    <col min="11780" max="11780" width="9.25390625" style="2" bestFit="1" customWidth="1"/>
    <col min="11781" max="11781" width="14.00390625" style="2" customWidth="1"/>
    <col min="11782" max="11782" width="9.25390625" style="2" bestFit="1" customWidth="1"/>
    <col min="11783" max="11785" width="13.125" style="2" bestFit="1" customWidth="1"/>
    <col min="11786" max="12030" width="9.125" style="2" customWidth="1"/>
    <col min="12031" max="12031" width="51.625" style="2" customWidth="1"/>
    <col min="12032" max="12032" width="16.25390625" style="2" customWidth="1"/>
    <col min="12033" max="12033" width="12.375" style="2" customWidth="1"/>
    <col min="12034" max="12034" width="11.875" style="2" customWidth="1"/>
    <col min="12035" max="12035" width="32.00390625" style="2" customWidth="1"/>
    <col min="12036" max="12036" width="9.25390625" style="2" bestFit="1" customWidth="1"/>
    <col min="12037" max="12037" width="14.00390625" style="2" customWidth="1"/>
    <col min="12038" max="12038" width="9.25390625" style="2" bestFit="1" customWidth="1"/>
    <col min="12039" max="12041" width="13.125" style="2" bestFit="1" customWidth="1"/>
    <col min="12042" max="12286" width="9.125" style="2" customWidth="1"/>
    <col min="12287" max="12287" width="51.625" style="2" customWidth="1"/>
    <col min="12288" max="12288" width="16.25390625" style="2" customWidth="1"/>
    <col min="12289" max="12289" width="12.375" style="2" customWidth="1"/>
    <col min="12290" max="12290" width="11.875" style="2" customWidth="1"/>
    <col min="12291" max="12291" width="32.00390625" style="2" customWidth="1"/>
    <col min="12292" max="12292" width="9.25390625" style="2" bestFit="1" customWidth="1"/>
    <col min="12293" max="12293" width="14.00390625" style="2" customWidth="1"/>
    <col min="12294" max="12294" width="9.25390625" style="2" bestFit="1" customWidth="1"/>
    <col min="12295" max="12297" width="13.125" style="2" bestFit="1" customWidth="1"/>
    <col min="12298" max="12542" width="9.125" style="2" customWidth="1"/>
    <col min="12543" max="12543" width="51.625" style="2" customWidth="1"/>
    <col min="12544" max="12544" width="16.25390625" style="2" customWidth="1"/>
    <col min="12545" max="12545" width="12.375" style="2" customWidth="1"/>
    <col min="12546" max="12546" width="11.875" style="2" customWidth="1"/>
    <col min="12547" max="12547" width="32.00390625" style="2" customWidth="1"/>
    <col min="12548" max="12548" width="9.25390625" style="2" bestFit="1" customWidth="1"/>
    <col min="12549" max="12549" width="14.00390625" style="2" customWidth="1"/>
    <col min="12550" max="12550" width="9.25390625" style="2" bestFit="1" customWidth="1"/>
    <col min="12551" max="12553" width="13.125" style="2" bestFit="1" customWidth="1"/>
    <col min="12554" max="12798" width="9.125" style="2" customWidth="1"/>
    <col min="12799" max="12799" width="51.625" style="2" customWidth="1"/>
    <col min="12800" max="12800" width="16.25390625" style="2" customWidth="1"/>
    <col min="12801" max="12801" width="12.375" style="2" customWidth="1"/>
    <col min="12802" max="12802" width="11.875" style="2" customWidth="1"/>
    <col min="12803" max="12803" width="32.00390625" style="2" customWidth="1"/>
    <col min="12804" max="12804" width="9.25390625" style="2" bestFit="1" customWidth="1"/>
    <col min="12805" max="12805" width="14.00390625" style="2" customWidth="1"/>
    <col min="12806" max="12806" width="9.25390625" style="2" bestFit="1" customWidth="1"/>
    <col min="12807" max="12809" width="13.125" style="2" bestFit="1" customWidth="1"/>
    <col min="12810" max="13054" width="9.125" style="2" customWidth="1"/>
    <col min="13055" max="13055" width="51.625" style="2" customWidth="1"/>
    <col min="13056" max="13056" width="16.25390625" style="2" customWidth="1"/>
    <col min="13057" max="13057" width="12.375" style="2" customWidth="1"/>
    <col min="13058" max="13058" width="11.875" style="2" customWidth="1"/>
    <col min="13059" max="13059" width="32.00390625" style="2" customWidth="1"/>
    <col min="13060" max="13060" width="9.25390625" style="2" bestFit="1" customWidth="1"/>
    <col min="13061" max="13061" width="14.00390625" style="2" customWidth="1"/>
    <col min="13062" max="13062" width="9.25390625" style="2" bestFit="1" customWidth="1"/>
    <col min="13063" max="13065" width="13.125" style="2" bestFit="1" customWidth="1"/>
    <col min="13066" max="13310" width="9.125" style="2" customWidth="1"/>
    <col min="13311" max="13311" width="51.625" style="2" customWidth="1"/>
    <col min="13312" max="13312" width="16.25390625" style="2" customWidth="1"/>
    <col min="13313" max="13313" width="12.375" style="2" customWidth="1"/>
    <col min="13314" max="13314" width="11.875" style="2" customWidth="1"/>
    <col min="13315" max="13315" width="32.00390625" style="2" customWidth="1"/>
    <col min="13316" max="13316" width="9.25390625" style="2" bestFit="1" customWidth="1"/>
    <col min="13317" max="13317" width="14.00390625" style="2" customWidth="1"/>
    <col min="13318" max="13318" width="9.25390625" style="2" bestFit="1" customWidth="1"/>
    <col min="13319" max="13321" width="13.125" style="2" bestFit="1" customWidth="1"/>
    <col min="13322" max="13566" width="9.125" style="2" customWidth="1"/>
    <col min="13567" max="13567" width="51.625" style="2" customWidth="1"/>
    <col min="13568" max="13568" width="16.25390625" style="2" customWidth="1"/>
    <col min="13569" max="13569" width="12.375" style="2" customWidth="1"/>
    <col min="13570" max="13570" width="11.875" style="2" customWidth="1"/>
    <col min="13571" max="13571" width="32.00390625" style="2" customWidth="1"/>
    <col min="13572" max="13572" width="9.25390625" style="2" bestFit="1" customWidth="1"/>
    <col min="13573" max="13573" width="14.00390625" style="2" customWidth="1"/>
    <col min="13574" max="13574" width="9.25390625" style="2" bestFit="1" customWidth="1"/>
    <col min="13575" max="13577" width="13.125" style="2" bestFit="1" customWidth="1"/>
    <col min="13578" max="13822" width="9.125" style="2" customWidth="1"/>
    <col min="13823" max="13823" width="51.625" style="2" customWidth="1"/>
    <col min="13824" max="13824" width="16.25390625" style="2" customWidth="1"/>
    <col min="13825" max="13825" width="12.375" style="2" customWidth="1"/>
    <col min="13826" max="13826" width="11.875" style="2" customWidth="1"/>
    <col min="13827" max="13827" width="32.00390625" style="2" customWidth="1"/>
    <col min="13828" max="13828" width="9.25390625" style="2" bestFit="1" customWidth="1"/>
    <col min="13829" max="13829" width="14.00390625" style="2" customWidth="1"/>
    <col min="13830" max="13830" width="9.25390625" style="2" bestFit="1" customWidth="1"/>
    <col min="13831" max="13833" width="13.125" style="2" bestFit="1" customWidth="1"/>
    <col min="13834" max="14078" width="9.125" style="2" customWidth="1"/>
    <col min="14079" max="14079" width="51.625" style="2" customWidth="1"/>
    <col min="14080" max="14080" width="16.25390625" style="2" customWidth="1"/>
    <col min="14081" max="14081" width="12.375" style="2" customWidth="1"/>
    <col min="14082" max="14082" width="11.875" style="2" customWidth="1"/>
    <col min="14083" max="14083" width="32.00390625" style="2" customWidth="1"/>
    <col min="14084" max="14084" width="9.25390625" style="2" bestFit="1" customWidth="1"/>
    <col min="14085" max="14085" width="14.00390625" style="2" customWidth="1"/>
    <col min="14086" max="14086" width="9.25390625" style="2" bestFit="1" customWidth="1"/>
    <col min="14087" max="14089" width="13.125" style="2" bestFit="1" customWidth="1"/>
    <col min="14090" max="14334" width="9.125" style="2" customWidth="1"/>
    <col min="14335" max="14335" width="51.625" style="2" customWidth="1"/>
    <col min="14336" max="14336" width="16.25390625" style="2" customWidth="1"/>
    <col min="14337" max="14337" width="12.375" style="2" customWidth="1"/>
    <col min="14338" max="14338" width="11.875" style="2" customWidth="1"/>
    <col min="14339" max="14339" width="32.00390625" style="2" customWidth="1"/>
    <col min="14340" max="14340" width="9.25390625" style="2" bestFit="1" customWidth="1"/>
    <col min="14341" max="14341" width="14.00390625" style="2" customWidth="1"/>
    <col min="14342" max="14342" width="9.25390625" style="2" bestFit="1" customWidth="1"/>
    <col min="14343" max="14345" width="13.125" style="2" bestFit="1" customWidth="1"/>
    <col min="14346" max="14590" width="9.125" style="2" customWidth="1"/>
    <col min="14591" max="14591" width="51.625" style="2" customWidth="1"/>
    <col min="14592" max="14592" width="16.25390625" style="2" customWidth="1"/>
    <col min="14593" max="14593" width="12.375" style="2" customWidth="1"/>
    <col min="14594" max="14594" width="11.875" style="2" customWidth="1"/>
    <col min="14595" max="14595" width="32.00390625" style="2" customWidth="1"/>
    <col min="14596" max="14596" width="9.25390625" style="2" bestFit="1" customWidth="1"/>
    <col min="14597" max="14597" width="14.00390625" style="2" customWidth="1"/>
    <col min="14598" max="14598" width="9.25390625" style="2" bestFit="1" customWidth="1"/>
    <col min="14599" max="14601" width="13.125" style="2" bestFit="1" customWidth="1"/>
    <col min="14602" max="14846" width="9.125" style="2" customWidth="1"/>
    <col min="14847" max="14847" width="51.625" style="2" customWidth="1"/>
    <col min="14848" max="14848" width="16.25390625" style="2" customWidth="1"/>
    <col min="14849" max="14849" width="12.375" style="2" customWidth="1"/>
    <col min="14850" max="14850" width="11.875" style="2" customWidth="1"/>
    <col min="14851" max="14851" width="32.00390625" style="2" customWidth="1"/>
    <col min="14852" max="14852" width="9.25390625" style="2" bestFit="1" customWidth="1"/>
    <col min="14853" max="14853" width="14.00390625" style="2" customWidth="1"/>
    <col min="14854" max="14854" width="9.25390625" style="2" bestFit="1" customWidth="1"/>
    <col min="14855" max="14857" width="13.125" style="2" bestFit="1" customWidth="1"/>
    <col min="14858" max="15102" width="9.125" style="2" customWidth="1"/>
    <col min="15103" max="15103" width="51.625" style="2" customWidth="1"/>
    <col min="15104" max="15104" width="16.25390625" style="2" customWidth="1"/>
    <col min="15105" max="15105" width="12.375" style="2" customWidth="1"/>
    <col min="15106" max="15106" width="11.875" style="2" customWidth="1"/>
    <col min="15107" max="15107" width="32.00390625" style="2" customWidth="1"/>
    <col min="15108" max="15108" width="9.25390625" style="2" bestFit="1" customWidth="1"/>
    <col min="15109" max="15109" width="14.00390625" style="2" customWidth="1"/>
    <col min="15110" max="15110" width="9.25390625" style="2" bestFit="1" customWidth="1"/>
    <col min="15111" max="15113" width="13.125" style="2" bestFit="1" customWidth="1"/>
    <col min="15114" max="15358" width="9.125" style="2" customWidth="1"/>
    <col min="15359" max="15359" width="51.625" style="2" customWidth="1"/>
    <col min="15360" max="15360" width="16.25390625" style="2" customWidth="1"/>
    <col min="15361" max="15361" width="12.375" style="2" customWidth="1"/>
    <col min="15362" max="15362" width="11.875" style="2" customWidth="1"/>
    <col min="15363" max="15363" width="32.00390625" style="2" customWidth="1"/>
    <col min="15364" max="15364" width="9.25390625" style="2" bestFit="1" customWidth="1"/>
    <col min="15365" max="15365" width="14.00390625" style="2" customWidth="1"/>
    <col min="15366" max="15366" width="9.25390625" style="2" bestFit="1" customWidth="1"/>
    <col min="15367" max="15369" width="13.125" style="2" bestFit="1" customWidth="1"/>
    <col min="15370" max="15614" width="9.125" style="2" customWidth="1"/>
    <col min="15615" max="15615" width="51.625" style="2" customWidth="1"/>
    <col min="15616" max="15616" width="16.25390625" style="2" customWidth="1"/>
    <col min="15617" max="15617" width="12.375" style="2" customWidth="1"/>
    <col min="15618" max="15618" width="11.875" style="2" customWidth="1"/>
    <col min="15619" max="15619" width="32.00390625" style="2" customWidth="1"/>
    <col min="15620" max="15620" width="9.25390625" style="2" bestFit="1" customWidth="1"/>
    <col min="15621" max="15621" width="14.00390625" style="2" customWidth="1"/>
    <col min="15622" max="15622" width="9.25390625" style="2" bestFit="1" customWidth="1"/>
    <col min="15623" max="15625" width="13.125" style="2" bestFit="1" customWidth="1"/>
    <col min="15626" max="15870" width="9.125" style="2" customWidth="1"/>
    <col min="15871" max="15871" width="51.625" style="2" customWidth="1"/>
    <col min="15872" max="15872" width="16.25390625" style="2" customWidth="1"/>
    <col min="15873" max="15873" width="12.375" style="2" customWidth="1"/>
    <col min="15874" max="15874" width="11.875" style="2" customWidth="1"/>
    <col min="15875" max="15875" width="32.00390625" style="2" customWidth="1"/>
    <col min="15876" max="15876" width="9.25390625" style="2" bestFit="1" customWidth="1"/>
    <col min="15877" max="15877" width="14.00390625" style="2" customWidth="1"/>
    <col min="15878" max="15878" width="9.25390625" style="2" bestFit="1" customWidth="1"/>
    <col min="15879" max="15881" width="13.125" style="2" bestFit="1" customWidth="1"/>
    <col min="15882" max="16126" width="9.125" style="2" customWidth="1"/>
    <col min="16127" max="16127" width="51.625" style="2" customWidth="1"/>
    <col min="16128" max="16128" width="16.25390625" style="2" customWidth="1"/>
    <col min="16129" max="16129" width="12.375" style="2" customWidth="1"/>
    <col min="16130" max="16130" width="11.875" style="2" customWidth="1"/>
    <col min="16131" max="16131" width="32.00390625" style="2" customWidth="1"/>
    <col min="16132" max="16132" width="9.25390625" style="2" bestFit="1" customWidth="1"/>
    <col min="16133" max="16133" width="14.00390625" style="2" customWidth="1"/>
    <col min="16134" max="16134" width="9.25390625" style="2" bestFit="1" customWidth="1"/>
    <col min="16135" max="16137" width="13.125" style="2" bestFit="1" customWidth="1"/>
    <col min="16138" max="16384" width="9.125" style="2" customWidth="1"/>
  </cols>
  <sheetData>
    <row r="1" spans="7:10" ht="21.75" customHeight="1">
      <c r="G1" s="272" t="s">
        <v>608</v>
      </c>
      <c r="H1" s="272"/>
      <c r="I1" s="272"/>
      <c r="J1" s="272"/>
    </row>
    <row r="2" spans="7:10" ht="21.75" customHeight="1">
      <c r="G2" s="272" t="s">
        <v>1145</v>
      </c>
      <c r="H2" s="272"/>
      <c r="I2" s="272"/>
      <c r="J2" s="272"/>
    </row>
    <row r="3" spans="7:10" ht="21.75" customHeight="1">
      <c r="G3" s="272" t="s">
        <v>1147</v>
      </c>
      <c r="H3" s="272"/>
      <c r="I3" s="272"/>
      <c r="J3" s="272"/>
    </row>
    <row r="4" spans="7:9" ht="21.75" customHeight="1">
      <c r="G4" s="96"/>
      <c r="H4" s="97"/>
      <c r="I4" s="97"/>
    </row>
    <row r="5" spans="1:10" ht="58.15" customHeight="1">
      <c r="A5" s="239" t="s">
        <v>609</v>
      </c>
      <c r="B5" s="239"/>
      <c r="C5" s="239"/>
      <c r="D5" s="239"/>
      <c r="E5" s="239"/>
      <c r="F5" s="239"/>
      <c r="G5" s="239"/>
      <c r="H5" s="239"/>
      <c r="I5" s="239"/>
      <c r="J5" s="239"/>
    </row>
    <row r="6" ht="12.75">
      <c r="J6" s="111" t="s">
        <v>641</v>
      </c>
    </row>
    <row r="7" spans="1:10" ht="52.5" customHeight="1">
      <c r="A7" s="241" t="s">
        <v>560</v>
      </c>
      <c r="B7" s="273" t="s">
        <v>561</v>
      </c>
      <c r="C7" s="273"/>
      <c r="D7" s="273"/>
      <c r="E7" s="273"/>
      <c r="F7" s="273" t="s">
        <v>562</v>
      </c>
      <c r="G7" s="273"/>
      <c r="H7" s="273"/>
      <c r="I7" s="271" t="s">
        <v>575</v>
      </c>
      <c r="J7" s="271" t="s">
        <v>576</v>
      </c>
    </row>
    <row r="8" spans="1:10" ht="44.25" customHeight="1">
      <c r="A8" s="242"/>
      <c r="B8" s="48" t="s">
        <v>563</v>
      </c>
      <c r="C8" s="48" t="s">
        <v>564</v>
      </c>
      <c r="D8" s="48" t="s">
        <v>565</v>
      </c>
      <c r="E8" s="48" t="s">
        <v>566</v>
      </c>
      <c r="F8" s="48" t="s">
        <v>72</v>
      </c>
      <c r="G8" s="48" t="s">
        <v>567</v>
      </c>
      <c r="H8" s="48" t="s">
        <v>568</v>
      </c>
      <c r="I8" s="271"/>
      <c r="J8" s="271"/>
    </row>
    <row r="9" spans="1:10" ht="12.75">
      <c r="A9" s="98">
        <v>1</v>
      </c>
      <c r="B9" s="98">
        <v>2</v>
      </c>
      <c r="C9" s="98">
        <v>3</v>
      </c>
      <c r="D9" s="98">
        <v>4</v>
      </c>
      <c r="E9" s="98">
        <v>5</v>
      </c>
      <c r="F9" s="98">
        <v>6</v>
      </c>
      <c r="G9" s="98">
        <v>7</v>
      </c>
      <c r="H9" s="98">
        <v>8</v>
      </c>
      <c r="I9" s="98">
        <v>9</v>
      </c>
      <c r="J9" s="112">
        <v>10</v>
      </c>
    </row>
    <row r="10" spans="1:10" ht="169.9" customHeight="1">
      <c r="A10" s="31" t="s">
        <v>106</v>
      </c>
      <c r="B10" s="35" t="s">
        <v>569</v>
      </c>
      <c r="C10" s="99">
        <v>40444</v>
      </c>
      <c r="D10" s="48">
        <v>334</v>
      </c>
      <c r="E10" s="100" t="s">
        <v>570</v>
      </c>
      <c r="F10" s="101">
        <v>1001</v>
      </c>
      <c r="G10" s="9" t="s">
        <v>300</v>
      </c>
      <c r="H10" s="102">
        <v>300</v>
      </c>
      <c r="I10" s="103">
        <f>'№8 (ведомст.)'!F225</f>
        <v>1410.8000000000002</v>
      </c>
      <c r="J10" s="103">
        <f>'№8 (ведомст.)'!G225</f>
        <v>1410.8</v>
      </c>
    </row>
    <row r="11" spans="1:10" ht="76.5" customHeight="1">
      <c r="A11" s="30" t="s">
        <v>571</v>
      </c>
      <c r="B11" s="35" t="s">
        <v>569</v>
      </c>
      <c r="C11" s="99">
        <v>41753</v>
      </c>
      <c r="D11" s="48">
        <v>248</v>
      </c>
      <c r="E11" s="100" t="s">
        <v>572</v>
      </c>
      <c r="F11" s="101">
        <v>1003</v>
      </c>
      <c r="G11" s="32" t="s">
        <v>303</v>
      </c>
      <c r="H11" s="102">
        <v>300</v>
      </c>
      <c r="I11" s="103">
        <f>'№8 (ведомст.)'!F234</f>
        <v>90.5</v>
      </c>
      <c r="J11" s="103">
        <f>'№8 (ведомст.)'!G234</f>
        <v>86.69999999999999</v>
      </c>
    </row>
    <row r="12" spans="1:10" ht="22.15" customHeight="1">
      <c r="A12" s="104" t="s">
        <v>521</v>
      </c>
      <c r="B12" s="105"/>
      <c r="C12" s="105"/>
      <c r="D12" s="105"/>
      <c r="E12" s="104"/>
      <c r="F12" s="104"/>
      <c r="G12" s="104"/>
      <c r="H12" s="104"/>
      <c r="I12" s="106">
        <f>I10+I11</f>
        <v>1501.3000000000002</v>
      </c>
      <c r="J12" s="106">
        <f>J10+J11</f>
        <v>1497.5</v>
      </c>
    </row>
  </sheetData>
  <mergeCells count="9">
    <mergeCell ref="J7:J8"/>
    <mergeCell ref="G1:J1"/>
    <mergeCell ref="G2:J2"/>
    <mergeCell ref="G3:J3"/>
    <mergeCell ref="A7:A8"/>
    <mergeCell ref="B7:E7"/>
    <mergeCell ref="F7:H7"/>
    <mergeCell ref="I7:I8"/>
    <mergeCell ref="A5:J5"/>
  </mergeCells>
  <printOptions/>
  <pageMargins left="0.5905511811023623" right="0.1968503937007874" top="0.7874015748031497" bottom="0.1968503937007874" header="0.5118110236220472" footer="0.5118110236220472"/>
  <pageSetup fitToHeight="0" fitToWidth="1"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sheetPr>
    <pageSetUpPr fitToPage="1"/>
  </sheetPr>
  <dimension ref="A1:M16"/>
  <sheetViews>
    <sheetView workbookViewId="0" topLeftCell="A1">
      <selection activeCell="N13" sqref="N13"/>
    </sheetView>
  </sheetViews>
  <sheetFormatPr defaultColWidth="9.125" defaultRowHeight="12.75"/>
  <cols>
    <col min="1" max="1" width="5.625" style="128" customWidth="1"/>
    <col min="2" max="2" width="25.75390625" style="118" customWidth="1"/>
    <col min="3" max="3" width="16.125" style="118" customWidth="1"/>
    <col min="4" max="4" width="9.625" style="129" customWidth="1"/>
    <col min="5" max="5" width="11.75390625" style="129" customWidth="1"/>
    <col min="6" max="6" width="13.125" style="129" customWidth="1"/>
    <col min="7" max="11" width="9.125" style="130" customWidth="1"/>
    <col min="12" max="12" width="14.875" style="129" customWidth="1"/>
    <col min="13" max="16384" width="9.125" style="118" customWidth="1"/>
  </cols>
  <sheetData>
    <row r="1" spans="1:13" ht="15.75" customHeight="1">
      <c r="A1" s="274" t="s">
        <v>627</v>
      </c>
      <c r="B1" s="274"/>
      <c r="C1" s="274"/>
      <c r="D1" s="274"/>
      <c r="E1" s="274"/>
      <c r="F1" s="274"/>
      <c r="G1" s="274"/>
      <c r="H1" s="274"/>
      <c r="I1" s="274"/>
      <c r="J1" s="274"/>
      <c r="K1" s="274"/>
      <c r="L1" s="274"/>
      <c r="M1" s="131"/>
    </row>
    <row r="2" spans="1:13" ht="15.75" customHeight="1">
      <c r="A2" s="274" t="s">
        <v>1151</v>
      </c>
      <c r="B2" s="274"/>
      <c r="C2" s="274"/>
      <c r="D2" s="274"/>
      <c r="E2" s="274"/>
      <c r="F2" s="274"/>
      <c r="G2" s="274"/>
      <c r="H2" s="274"/>
      <c r="I2" s="274"/>
      <c r="J2" s="274"/>
      <c r="K2" s="274"/>
      <c r="L2" s="274"/>
      <c r="M2" s="131"/>
    </row>
    <row r="3" spans="1:13" ht="15.75" customHeight="1">
      <c r="A3" s="274" t="s">
        <v>1147</v>
      </c>
      <c r="B3" s="274"/>
      <c r="C3" s="274"/>
      <c r="D3" s="274"/>
      <c r="E3" s="274"/>
      <c r="F3" s="274"/>
      <c r="G3" s="274"/>
      <c r="H3" s="274"/>
      <c r="I3" s="274"/>
      <c r="J3" s="274"/>
      <c r="K3" s="274"/>
      <c r="L3" s="274"/>
      <c r="M3" s="131"/>
    </row>
    <row r="5" spans="1:13" ht="24.75" customHeight="1">
      <c r="A5" s="277" t="s">
        <v>610</v>
      </c>
      <c r="B5" s="277"/>
      <c r="C5" s="277"/>
      <c r="D5" s="277"/>
      <c r="E5" s="277"/>
      <c r="F5" s="277"/>
      <c r="G5" s="277"/>
      <c r="H5" s="277"/>
      <c r="I5" s="277"/>
      <c r="J5" s="277"/>
      <c r="K5" s="277"/>
      <c r="L5" s="277"/>
      <c r="M5" s="132"/>
    </row>
    <row r="6" spans="1:13" ht="23.25" customHeight="1">
      <c r="A6" s="276" t="s">
        <v>628</v>
      </c>
      <c r="B6" s="276"/>
      <c r="C6" s="276"/>
      <c r="D6" s="276"/>
      <c r="E6" s="276"/>
      <c r="F6" s="276"/>
      <c r="G6" s="276"/>
      <c r="H6" s="276"/>
      <c r="I6" s="276"/>
      <c r="J6" s="276"/>
      <c r="K6" s="276"/>
      <c r="L6" s="276"/>
      <c r="M6" s="133"/>
    </row>
    <row r="7" spans="1:12" ht="23.25" customHeight="1">
      <c r="A7" s="119"/>
      <c r="B7" s="119"/>
      <c r="C7" s="119"/>
      <c r="D7" s="119"/>
      <c r="E7" s="119"/>
      <c r="F7" s="119"/>
      <c r="G7" s="119"/>
      <c r="H7" s="119"/>
      <c r="I7" s="119"/>
      <c r="J7" s="119"/>
      <c r="K7" s="119"/>
      <c r="L7" s="111" t="s">
        <v>641</v>
      </c>
    </row>
    <row r="8" spans="1:12" ht="27.75" customHeight="1">
      <c r="A8" s="278" t="s">
        <v>611</v>
      </c>
      <c r="B8" s="278" t="s">
        <v>612</v>
      </c>
      <c r="C8" s="279" t="s">
        <v>613</v>
      </c>
      <c r="D8" s="279" t="s">
        <v>1144</v>
      </c>
      <c r="E8" s="279"/>
      <c r="F8" s="279"/>
      <c r="G8" s="279"/>
      <c r="H8" s="275" t="s">
        <v>576</v>
      </c>
      <c r="I8" s="275"/>
      <c r="J8" s="275"/>
      <c r="K8" s="275"/>
      <c r="L8" s="279" t="s">
        <v>614</v>
      </c>
    </row>
    <row r="9" spans="1:12" ht="104.25" customHeight="1">
      <c r="A9" s="278"/>
      <c r="B9" s="278"/>
      <c r="C9" s="279"/>
      <c r="D9" s="236" t="s">
        <v>615</v>
      </c>
      <c r="E9" s="236" t="s">
        <v>616</v>
      </c>
      <c r="F9" s="236" t="s">
        <v>617</v>
      </c>
      <c r="G9" s="303" t="s">
        <v>618</v>
      </c>
      <c r="H9" s="236" t="s">
        <v>615</v>
      </c>
      <c r="I9" s="236" t="s">
        <v>616</v>
      </c>
      <c r="J9" s="236" t="s">
        <v>617</v>
      </c>
      <c r="K9" s="303" t="s">
        <v>618</v>
      </c>
      <c r="L9" s="279"/>
    </row>
    <row r="10" spans="1:12" s="123" customFormat="1" ht="45" customHeight="1">
      <c r="A10" s="120">
        <v>1</v>
      </c>
      <c r="B10" s="120" t="s">
        <v>62</v>
      </c>
      <c r="C10" s="303" t="s">
        <v>619</v>
      </c>
      <c r="D10" s="121">
        <f>D11</f>
        <v>5719.900000000001</v>
      </c>
      <c r="E10" s="121">
        <f aca="true" t="shared" si="0" ref="E10:G11">E11</f>
        <v>0</v>
      </c>
      <c r="F10" s="121">
        <f t="shared" si="0"/>
        <v>0</v>
      </c>
      <c r="G10" s="121">
        <f t="shared" si="0"/>
        <v>5719.900000000001</v>
      </c>
      <c r="H10" s="121">
        <f>H11</f>
        <v>0</v>
      </c>
      <c r="I10" s="121">
        <f aca="true" t="shared" si="1" ref="I10:K11">I11</f>
        <v>0</v>
      </c>
      <c r="J10" s="121">
        <f t="shared" si="1"/>
        <v>0</v>
      </c>
      <c r="K10" s="121">
        <f t="shared" si="1"/>
        <v>0</v>
      </c>
      <c r="L10" s="122" t="s">
        <v>95</v>
      </c>
    </row>
    <row r="11" spans="1:12" ht="36.75" customHeight="1">
      <c r="A11" s="235" t="s">
        <v>620</v>
      </c>
      <c r="B11" s="235" t="s">
        <v>63</v>
      </c>
      <c r="C11" s="236" t="s">
        <v>619</v>
      </c>
      <c r="D11" s="124">
        <f>D12</f>
        <v>5719.900000000001</v>
      </c>
      <c r="E11" s="124">
        <f t="shared" si="0"/>
        <v>0</v>
      </c>
      <c r="F11" s="124">
        <f t="shared" si="0"/>
        <v>0</v>
      </c>
      <c r="G11" s="124">
        <f t="shared" si="0"/>
        <v>5719.900000000001</v>
      </c>
      <c r="H11" s="124">
        <f>H12</f>
        <v>0</v>
      </c>
      <c r="I11" s="124">
        <f t="shared" si="1"/>
        <v>0</v>
      </c>
      <c r="J11" s="124">
        <f t="shared" si="1"/>
        <v>0</v>
      </c>
      <c r="K11" s="124">
        <f t="shared" si="1"/>
        <v>0</v>
      </c>
      <c r="L11" s="125" t="s">
        <v>86</v>
      </c>
    </row>
    <row r="12" spans="1:12" ht="85.5" customHeight="1">
      <c r="A12" s="235" t="s">
        <v>621</v>
      </c>
      <c r="B12" s="235" t="s">
        <v>237</v>
      </c>
      <c r="C12" s="236" t="s">
        <v>622</v>
      </c>
      <c r="D12" s="126">
        <f>'№8 (ведомст.)'!F151</f>
        <v>5719.900000000001</v>
      </c>
      <c r="E12" s="126">
        <v>0</v>
      </c>
      <c r="F12" s="126">
        <v>0</v>
      </c>
      <c r="G12" s="124">
        <f aca="true" t="shared" si="2" ref="G12">D12+E12+F12</f>
        <v>5719.900000000001</v>
      </c>
      <c r="H12" s="124">
        <f>'№8 (ведомст.)'!G151</f>
        <v>0</v>
      </c>
      <c r="I12" s="126">
        <v>0</v>
      </c>
      <c r="J12" s="126">
        <v>0</v>
      </c>
      <c r="K12" s="124">
        <f>SUM(H12:J12)</f>
        <v>0</v>
      </c>
      <c r="L12" s="125" t="s">
        <v>86</v>
      </c>
    </row>
    <row r="13" spans="1:12" s="123" customFormat="1" ht="33.75" customHeight="1">
      <c r="A13" s="120" t="s">
        <v>623</v>
      </c>
      <c r="B13" s="120" t="s">
        <v>67</v>
      </c>
      <c r="C13" s="303"/>
      <c r="D13" s="121">
        <f>D14</f>
        <v>0</v>
      </c>
      <c r="E13" s="121">
        <f aca="true" t="shared" si="3" ref="E13:G14">E14</f>
        <v>6864.9</v>
      </c>
      <c r="F13" s="121">
        <f t="shared" si="3"/>
        <v>0</v>
      </c>
      <c r="G13" s="121">
        <f t="shared" si="3"/>
        <v>6864.9</v>
      </c>
      <c r="H13" s="121">
        <f>H14</f>
        <v>0</v>
      </c>
      <c r="I13" s="121">
        <f aca="true" t="shared" si="4" ref="I13:K13">I14</f>
        <v>6770.8</v>
      </c>
      <c r="J13" s="121">
        <f t="shared" si="4"/>
        <v>0</v>
      </c>
      <c r="K13" s="121">
        <f t="shared" si="4"/>
        <v>6770.8</v>
      </c>
      <c r="L13" s="122" t="s">
        <v>75</v>
      </c>
    </row>
    <row r="14" spans="1:12" ht="35.25" customHeight="1">
      <c r="A14" s="235" t="s">
        <v>624</v>
      </c>
      <c r="B14" s="235" t="s">
        <v>145</v>
      </c>
      <c r="C14" s="236"/>
      <c r="D14" s="126">
        <f>D15</f>
        <v>0</v>
      </c>
      <c r="E14" s="126">
        <f t="shared" si="3"/>
        <v>6864.9</v>
      </c>
      <c r="F14" s="126">
        <f t="shared" si="3"/>
        <v>0</v>
      </c>
      <c r="G14" s="126">
        <f t="shared" si="3"/>
        <v>6864.9</v>
      </c>
      <c r="H14" s="126">
        <f>H15</f>
        <v>0</v>
      </c>
      <c r="I14" s="126">
        <f aca="true" t="shared" si="5" ref="I14:K14">I15</f>
        <v>6770.8</v>
      </c>
      <c r="J14" s="126">
        <f t="shared" si="5"/>
        <v>0</v>
      </c>
      <c r="K14" s="126">
        <f t="shared" si="5"/>
        <v>6770.8</v>
      </c>
      <c r="L14" s="125" t="s">
        <v>144</v>
      </c>
    </row>
    <row r="15" spans="1:12" ht="70.5" customHeight="1">
      <c r="A15" s="235" t="s">
        <v>625</v>
      </c>
      <c r="B15" s="235" t="s">
        <v>626</v>
      </c>
      <c r="C15" s="236" t="s">
        <v>8</v>
      </c>
      <c r="D15" s="126">
        <v>0</v>
      </c>
      <c r="E15" s="126">
        <f>'№8 (ведомст.)'!F328</f>
        <v>6864.9</v>
      </c>
      <c r="F15" s="126">
        <v>0</v>
      </c>
      <c r="G15" s="124">
        <f>D15+E15+F15</f>
        <v>6864.9</v>
      </c>
      <c r="H15" s="124">
        <v>0</v>
      </c>
      <c r="I15" s="124">
        <f>'№8 (ведомст.)'!G328</f>
        <v>6770.8</v>
      </c>
      <c r="J15" s="124">
        <v>0</v>
      </c>
      <c r="K15" s="124">
        <f>SUM(H15:J15)</f>
        <v>6770.8</v>
      </c>
      <c r="L15" s="125" t="s">
        <v>144</v>
      </c>
    </row>
    <row r="16" spans="1:12" ht="28.5" customHeight="1">
      <c r="A16" s="235"/>
      <c r="B16" s="120" t="s">
        <v>521</v>
      </c>
      <c r="C16" s="236"/>
      <c r="D16" s="127">
        <f>D10+D13</f>
        <v>5719.900000000001</v>
      </c>
      <c r="E16" s="127">
        <f aca="true" t="shared" si="6" ref="E16:G16">E10+E13</f>
        <v>6864.9</v>
      </c>
      <c r="F16" s="127">
        <f t="shared" si="6"/>
        <v>0</v>
      </c>
      <c r="G16" s="127">
        <f t="shared" si="6"/>
        <v>12584.8</v>
      </c>
      <c r="H16" s="127">
        <f>H13+H10</f>
        <v>0</v>
      </c>
      <c r="I16" s="127">
        <f aca="true" t="shared" si="7" ref="I16:K16">I13+I10</f>
        <v>6770.8</v>
      </c>
      <c r="J16" s="127">
        <f t="shared" si="7"/>
        <v>0</v>
      </c>
      <c r="K16" s="127">
        <f t="shared" si="7"/>
        <v>6770.8</v>
      </c>
      <c r="L16" s="125"/>
    </row>
  </sheetData>
  <mergeCells count="11">
    <mergeCell ref="A1:L1"/>
    <mergeCell ref="A2:L2"/>
    <mergeCell ref="A3:L3"/>
    <mergeCell ref="H8:K8"/>
    <mergeCell ref="A6:L6"/>
    <mergeCell ref="A5:L5"/>
    <mergeCell ref="A8:A9"/>
    <mergeCell ref="B8:B9"/>
    <mergeCell ref="C8:C9"/>
    <mergeCell ref="D8:G8"/>
    <mergeCell ref="L8:L9"/>
  </mergeCells>
  <printOptions/>
  <pageMargins left="0.7086614173228347" right="0.31496062992125984" top="0.15748031496062992" bottom="0.15748031496062992" header="0.31496062992125984" footer="0.31496062992125984"/>
  <pageSetup fitToHeight="0" fitToWidth="1" horizontalDpi="600" verticalDpi="600" orientation="portrait" paperSize="9" scale="66" r:id="rId1"/>
</worksheet>
</file>

<file path=xl/worksheets/sheet15.xml><?xml version="1.0" encoding="utf-8"?>
<worksheet xmlns="http://schemas.openxmlformats.org/spreadsheetml/2006/main" xmlns:r="http://schemas.openxmlformats.org/officeDocument/2006/relationships">
  <sheetPr>
    <pageSetUpPr fitToPage="1"/>
  </sheetPr>
  <dimension ref="A1:D20"/>
  <sheetViews>
    <sheetView tabSelected="1" workbookViewId="0" topLeftCell="A1">
      <selection activeCell="B4" sqref="B4"/>
    </sheetView>
  </sheetViews>
  <sheetFormatPr defaultColWidth="14.75390625" defaultRowHeight="12.75"/>
  <cols>
    <col min="1" max="1" width="8.25390625" style="134" customWidth="1"/>
    <col min="2" max="2" width="63.25390625" style="134" customWidth="1"/>
    <col min="3" max="3" width="18.00390625" style="134" customWidth="1"/>
    <col min="4" max="4" width="16.625" style="134" customWidth="1"/>
    <col min="5" max="254" width="14.75390625" style="134" customWidth="1"/>
    <col min="255" max="255" width="8.25390625" style="134" customWidth="1"/>
    <col min="256" max="256" width="53.125" style="134" customWidth="1"/>
    <col min="257" max="257" width="18.00390625" style="134" customWidth="1"/>
    <col min="258" max="259" width="17.625" style="134" customWidth="1"/>
    <col min="260" max="260" width="32.25390625" style="134" customWidth="1"/>
    <col min="261" max="510" width="14.75390625" style="134" customWidth="1"/>
    <col min="511" max="511" width="8.25390625" style="134" customWidth="1"/>
    <col min="512" max="512" width="53.125" style="134" customWidth="1"/>
    <col min="513" max="513" width="18.00390625" style="134" customWidth="1"/>
    <col min="514" max="515" width="17.625" style="134" customWidth="1"/>
    <col min="516" max="516" width="32.25390625" style="134" customWidth="1"/>
    <col min="517" max="766" width="14.75390625" style="134" customWidth="1"/>
    <col min="767" max="767" width="8.25390625" style="134" customWidth="1"/>
    <col min="768" max="768" width="53.125" style="134" customWidth="1"/>
    <col min="769" max="769" width="18.00390625" style="134" customWidth="1"/>
    <col min="770" max="771" width="17.625" style="134" customWidth="1"/>
    <col min="772" max="772" width="32.25390625" style="134" customWidth="1"/>
    <col min="773" max="1022" width="14.75390625" style="134" customWidth="1"/>
    <col min="1023" max="1023" width="8.25390625" style="134" customWidth="1"/>
    <col min="1024" max="1024" width="53.125" style="134" customWidth="1"/>
    <col min="1025" max="1025" width="18.00390625" style="134" customWidth="1"/>
    <col min="1026" max="1027" width="17.625" style="134" customWidth="1"/>
    <col min="1028" max="1028" width="32.25390625" style="134" customWidth="1"/>
    <col min="1029" max="1278" width="14.75390625" style="134" customWidth="1"/>
    <col min="1279" max="1279" width="8.25390625" style="134" customWidth="1"/>
    <col min="1280" max="1280" width="53.125" style="134" customWidth="1"/>
    <col min="1281" max="1281" width="18.00390625" style="134" customWidth="1"/>
    <col min="1282" max="1283" width="17.625" style="134" customWidth="1"/>
    <col min="1284" max="1284" width="32.25390625" style="134" customWidth="1"/>
    <col min="1285" max="1534" width="14.75390625" style="134" customWidth="1"/>
    <col min="1535" max="1535" width="8.25390625" style="134" customWidth="1"/>
    <col min="1536" max="1536" width="53.125" style="134" customWidth="1"/>
    <col min="1537" max="1537" width="18.00390625" style="134" customWidth="1"/>
    <col min="1538" max="1539" width="17.625" style="134" customWidth="1"/>
    <col min="1540" max="1540" width="32.25390625" style="134" customWidth="1"/>
    <col min="1541" max="1790" width="14.75390625" style="134" customWidth="1"/>
    <col min="1791" max="1791" width="8.25390625" style="134" customWidth="1"/>
    <col min="1792" max="1792" width="53.125" style="134" customWidth="1"/>
    <col min="1793" max="1793" width="18.00390625" style="134" customWidth="1"/>
    <col min="1794" max="1795" width="17.625" style="134" customWidth="1"/>
    <col min="1796" max="1796" width="32.25390625" style="134" customWidth="1"/>
    <col min="1797" max="2046" width="14.75390625" style="134" customWidth="1"/>
    <col min="2047" max="2047" width="8.25390625" style="134" customWidth="1"/>
    <col min="2048" max="2048" width="53.125" style="134" customWidth="1"/>
    <col min="2049" max="2049" width="18.00390625" style="134" customWidth="1"/>
    <col min="2050" max="2051" width="17.625" style="134" customWidth="1"/>
    <col min="2052" max="2052" width="32.25390625" style="134" customWidth="1"/>
    <col min="2053" max="2302" width="14.75390625" style="134" customWidth="1"/>
    <col min="2303" max="2303" width="8.25390625" style="134" customWidth="1"/>
    <col min="2304" max="2304" width="53.125" style="134" customWidth="1"/>
    <col min="2305" max="2305" width="18.00390625" style="134" customWidth="1"/>
    <col min="2306" max="2307" width="17.625" style="134" customWidth="1"/>
    <col min="2308" max="2308" width="32.25390625" style="134" customWidth="1"/>
    <col min="2309" max="2558" width="14.75390625" style="134" customWidth="1"/>
    <col min="2559" max="2559" width="8.25390625" style="134" customWidth="1"/>
    <col min="2560" max="2560" width="53.125" style="134" customWidth="1"/>
    <col min="2561" max="2561" width="18.00390625" style="134" customWidth="1"/>
    <col min="2562" max="2563" width="17.625" style="134" customWidth="1"/>
    <col min="2564" max="2564" width="32.25390625" style="134" customWidth="1"/>
    <col min="2565" max="2814" width="14.75390625" style="134" customWidth="1"/>
    <col min="2815" max="2815" width="8.25390625" style="134" customWidth="1"/>
    <col min="2816" max="2816" width="53.125" style="134" customWidth="1"/>
    <col min="2817" max="2817" width="18.00390625" style="134" customWidth="1"/>
    <col min="2818" max="2819" width="17.625" style="134" customWidth="1"/>
    <col min="2820" max="2820" width="32.25390625" style="134" customWidth="1"/>
    <col min="2821" max="3070" width="14.75390625" style="134" customWidth="1"/>
    <col min="3071" max="3071" width="8.25390625" style="134" customWidth="1"/>
    <col min="3072" max="3072" width="53.125" style="134" customWidth="1"/>
    <col min="3073" max="3073" width="18.00390625" style="134" customWidth="1"/>
    <col min="3074" max="3075" width="17.625" style="134" customWidth="1"/>
    <col min="3076" max="3076" width="32.25390625" style="134" customWidth="1"/>
    <col min="3077" max="3326" width="14.75390625" style="134" customWidth="1"/>
    <col min="3327" max="3327" width="8.25390625" style="134" customWidth="1"/>
    <col min="3328" max="3328" width="53.125" style="134" customWidth="1"/>
    <col min="3329" max="3329" width="18.00390625" style="134" customWidth="1"/>
    <col min="3330" max="3331" width="17.625" style="134" customWidth="1"/>
    <col min="3332" max="3332" width="32.25390625" style="134" customWidth="1"/>
    <col min="3333" max="3582" width="14.75390625" style="134" customWidth="1"/>
    <col min="3583" max="3583" width="8.25390625" style="134" customWidth="1"/>
    <col min="3584" max="3584" width="53.125" style="134" customWidth="1"/>
    <col min="3585" max="3585" width="18.00390625" style="134" customWidth="1"/>
    <col min="3586" max="3587" width="17.625" style="134" customWidth="1"/>
    <col min="3588" max="3588" width="32.25390625" style="134" customWidth="1"/>
    <col min="3589" max="3838" width="14.75390625" style="134" customWidth="1"/>
    <col min="3839" max="3839" width="8.25390625" style="134" customWidth="1"/>
    <col min="3840" max="3840" width="53.125" style="134" customWidth="1"/>
    <col min="3841" max="3841" width="18.00390625" style="134" customWidth="1"/>
    <col min="3842" max="3843" width="17.625" style="134" customWidth="1"/>
    <col min="3844" max="3844" width="32.25390625" style="134" customWidth="1"/>
    <col min="3845" max="4094" width="14.75390625" style="134" customWidth="1"/>
    <col min="4095" max="4095" width="8.25390625" style="134" customWidth="1"/>
    <col min="4096" max="4096" width="53.125" style="134" customWidth="1"/>
    <col min="4097" max="4097" width="18.00390625" style="134" customWidth="1"/>
    <col min="4098" max="4099" width="17.625" style="134" customWidth="1"/>
    <col min="4100" max="4100" width="32.25390625" style="134" customWidth="1"/>
    <col min="4101" max="4350" width="14.75390625" style="134" customWidth="1"/>
    <col min="4351" max="4351" width="8.25390625" style="134" customWidth="1"/>
    <col min="4352" max="4352" width="53.125" style="134" customWidth="1"/>
    <col min="4353" max="4353" width="18.00390625" style="134" customWidth="1"/>
    <col min="4354" max="4355" width="17.625" style="134" customWidth="1"/>
    <col min="4356" max="4356" width="32.25390625" style="134" customWidth="1"/>
    <col min="4357" max="4606" width="14.75390625" style="134" customWidth="1"/>
    <col min="4607" max="4607" width="8.25390625" style="134" customWidth="1"/>
    <col min="4608" max="4608" width="53.125" style="134" customWidth="1"/>
    <col min="4609" max="4609" width="18.00390625" style="134" customWidth="1"/>
    <col min="4610" max="4611" width="17.625" style="134" customWidth="1"/>
    <col min="4612" max="4612" width="32.25390625" style="134" customWidth="1"/>
    <col min="4613" max="4862" width="14.75390625" style="134" customWidth="1"/>
    <col min="4863" max="4863" width="8.25390625" style="134" customWidth="1"/>
    <col min="4864" max="4864" width="53.125" style="134" customWidth="1"/>
    <col min="4865" max="4865" width="18.00390625" style="134" customWidth="1"/>
    <col min="4866" max="4867" width="17.625" style="134" customWidth="1"/>
    <col min="4868" max="4868" width="32.25390625" style="134" customWidth="1"/>
    <col min="4869" max="5118" width="14.75390625" style="134" customWidth="1"/>
    <col min="5119" max="5119" width="8.25390625" style="134" customWidth="1"/>
    <col min="5120" max="5120" width="53.125" style="134" customWidth="1"/>
    <col min="5121" max="5121" width="18.00390625" style="134" customWidth="1"/>
    <col min="5122" max="5123" width="17.625" style="134" customWidth="1"/>
    <col min="5124" max="5124" width="32.25390625" style="134" customWidth="1"/>
    <col min="5125" max="5374" width="14.75390625" style="134" customWidth="1"/>
    <col min="5375" max="5375" width="8.25390625" style="134" customWidth="1"/>
    <col min="5376" max="5376" width="53.125" style="134" customWidth="1"/>
    <col min="5377" max="5377" width="18.00390625" style="134" customWidth="1"/>
    <col min="5378" max="5379" width="17.625" style="134" customWidth="1"/>
    <col min="5380" max="5380" width="32.25390625" style="134" customWidth="1"/>
    <col min="5381" max="5630" width="14.75390625" style="134" customWidth="1"/>
    <col min="5631" max="5631" width="8.25390625" style="134" customWidth="1"/>
    <col min="5632" max="5632" width="53.125" style="134" customWidth="1"/>
    <col min="5633" max="5633" width="18.00390625" style="134" customWidth="1"/>
    <col min="5634" max="5635" width="17.625" style="134" customWidth="1"/>
    <col min="5636" max="5636" width="32.25390625" style="134" customWidth="1"/>
    <col min="5637" max="5886" width="14.75390625" style="134" customWidth="1"/>
    <col min="5887" max="5887" width="8.25390625" style="134" customWidth="1"/>
    <col min="5888" max="5888" width="53.125" style="134" customWidth="1"/>
    <col min="5889" max="5889" width="18.00390625" style="134" customWidth="1"/>
    <col min="5890" max="5891" width="17.625" style="134" customWidth="1"/>
    <col min="5892" max="5892" width="32.25390625" style="134" customWidth="1"/>
    <col min="5893" max="6142" width="14.75390625" style="134" customWidth="1"/>
    <col min="6143" max="6143" width="8.25390625" style="134" customWidth="1"/>
    <col min="6144" max="6144" width="53.125" style="134" customWidth="1"/>
    <col min="6145" max="6145" width="18.00390625" style="134" customWidth="1"/>
    <col min="6146" max="6147" width="17.625" style="134" customWidth="1"/>
    <col min="6148" max="6148" width="32.25390625" style="134" customWidth="1"/>
    <col min="6149" max="6398" width="14.75390625" style="134" customWidth="1"/>
    <col min="6399" max="6399" width="8.25390625" style="134" customWidth="1"/>
    <col min="6400" max="6400" width="53.125" style="134" customWidth="1"/>
    <col min="6401" max="6401" width="18.00390625" style="134" customWidth="1"/>
    <col min="6402" max="6403" width="17.625" style="134" customWidth="1"/>
    <col min="6404" max="6404" width="32.25390625" style="134" customWidth="1"/>
    <col min="6405" max="6654" width="14.75390625" style="134" customWidth="1"/>
    <col min="6655" max="6655" width="8.25390625" style="134" customWidth="1"/>
    <col min="6656" max="6656" width="53.125" style="134" customWidth="1"/>
    <col min="6657" max="6657" width="18.00390625" style="134" customWidth="1"/>
    <col min="6658" max="6659" width="17.625" style="134" customWidth="1"/>
    <col min="6660" max="6660" width="32.25390625" style="134" customWidth="1"/>
    <col min="6661" max="6910" width="14.75390625" style="134" customWidth="1"/>
    <col min="6911" max="6911" width="8.25390625" style="134" customWidth="1"/>
    <col min="6912" max="6912" width="53.125" style="134" customWidth="1"/>
    <col min="6913" max="6913" width="18.00390625" style="134" customWidth="1"/>
    <col min="6914" max="6915" width="17.625" style="134" customWidth="1"/>
    <col min="6916" max="6916" width="32.25390625" style="134" customWidth="1"/>
    <col min="6917" max="7166" width="14.75390625" style="134" customWidth="1"/>
    <col min="7167" max="7167" width="8.25390625" style="134" customWidth="1"/>
    <col min="7168" max="7168" width="53.125" style="134" customWidth="1"/>
    <col min="7169" max="7169" width="18.00390625" style="134" customWidth="1"/>
    <col min="7170" max="7171" width="17.625" style="134" customWidth="1"/>
    <col min="7172" max="7172" width="32.25390625" style="134" customWidth="1"/>
    <col min="7173" max="7422" width="14.75390625" style="134" customWidth="1"/>
    <col min="7423" max="7423" width="8.25390625" style="134" customWidth="1"/>
    <col min="7424" max="7424" width="53.125" style="134" customWidth="1"/>
    <col min="7425" max="7425" width="18.00390625" style="134" customWidth="1"/>
    <col min="7426" max="7427" width="17.625" style="134" customWidth="1"/>
    <col min="7428" max="7428" width="32.25390625" style="134" customWidth="1"/>
    <col min="7429" max="7678" width="14.75390625" style="134" customWidth="1"/>
    <col min="7679" max="7679" width="8.25390625" style="134" customWidth="1"/>
    <col min="7680" max="7680" width="53.125" style="134" customWidth="1"/>
    <col min="7681" max="7681" width="18.00390625" style="134" customWidth="1"/>
    <col min="7682" max="7683" width="17.625" style="134" customWidth="1"/>
    <col min="7684" max="7684" width="32.25390625" style="134" customWidth="1"/>
    <col min="7685" max="7934" width="14.75390625" style="134" customWidth="1"/>
    <col min="7935" max="7935" width="8.25390625" style="134" customWidth="1"/>
    <col min="7936" max="7936" width="53.125" style="134" customWidth="1"/>
    <col min="7937" max="7937" width="18.00390625" style="134" customWidth="1"/>
    <col min="7938" max="7939" width="17.625" style="134" customWidth="1"/>
    <col min="7940" max="7940" width="32.25390625" style="134" customWidth="1"/>
    <col min="7941" max="8190" width="14.75390625" style="134" customWidth="1"/>
    <col min="8191" max="8191" width="8.25390625" style="134" customWidth="1"/>
    <col min="8192" max="8192" width="53.125" style="134" customWidth="1"/>
    <col min="8193" max="8193" width="18.00390625" style="134" customWidth="1"/>
    <col min="8194" max="8195" width="17.625" style="134" customWidth="1"/>
    <col min="8196" max="8196" width="32.25390625" style="134" customWidth="1"/>
    <col min="8197" max="8446" width="14.75390625" style="134" customWidth="1"/>
    <col min="8447" max="8447" width="8.25390625" style="134" customWidth="1"/>
    <col min="8448" max="8448" width="53.125" style="134" customWidth="1"/>
    <col min="8449" max="8449" width="18.00390625" style="134" customWidth="1"/>
    <col min="8450" max="8451" width="17.625" style="134" customWidth="1"/>
    <col min="8452" max="8452" width="32.25390625" style="134" customWidth="1"/>
    <col min="8453" max="8702" width="14.75390625" style="134" customWidth="1"/>
    <col min="8703" max="8703" width="8.25390625" style="134" customWidth="1"/>
    <col min="8704" max="8704" width="53.125" style="134" customWidth="1"/>
    <col min="8705" max="8705" width="18.00390625" style="134" customWidth="1"/>
    <col min="8706" max="8707" width="17.625" style="134" customWidth="1"/>
    <col min="8708" max="8708" width="32.25390625" style="134" customWidth="1"/>
    <col min="8709" max="8958" width="14.75390625" style="134" customWidth="1"/>
    <col min="8959" max="8959" width="8.25390625" style="134" customWidth="1"/>
    <col min="8960" max="8960" width="53.125" style="134" customWidth="1"/>
    <col min="8961" max="8961" width="18.00390625" style="134" customWidth="1"/>
    <col min="8962" max="8963" width="17.625" style="134" customWidth="1"/>
    <col min="8964" max="8964" width="32.25390625" style="134" customWidth="1"/>
    <col min="8965" max="9214" width="14.75390625" style="134" customWidth="1"/>
    <col min="9215" max="9215" width="8.25390625" style="134" customWidth="1"/>
    <col min="9216" max="9216" width="53.125" style="134" customWidth="1"/>
    <col min="9217" max="9217" width="18.00390625" style="134" customWidth="1"/>
    <col min="9218" max="9219" width="17.625" style="134" customWidth="1"/>
    <col min="9220" max="9220" width="32.25390625" style="134" customWidth="1"/>
    <col min="9221" max="9470" width="14.75390625" style="134" customWidth="1"/>
    <col min="9471" max="9471" width="8.25390625" style="134" customWidth="1"/>
    <col min="9472" max="9472" width="53.125" style="134" customWidth="1"/>
    <col min="9473" max="9473" width="18.00390625" style="134" customWidth="1"/>
    <col min="9474" max="9475" width="17.625" style="134" customWidth="1"/>
    <col min="9476" max="9476" width="32.25390625" style="134" customWidth="1"/>
    <col min="9477" max="9726" width="14.75390625" style="134" customWidth="1"/>
    <col min="9727" max="9727" width="8.25390625" style="134" customWidth="1"/>
    <col min="9728" max="9728" width="53.125" style="134" customWidth="1"/>
    <col min="9729" max="9729" width="18.00390625" style="134" customWidth="1"/>
    <col min="9730" max="9731" width="17.625" style="134" customWidth="1"/>
    <col min="9732" max="9732" width="32.25390625" style="134" customWidth="1"/>
    <col min="9733" max="9982" width="14.75390625" style="134" customWidth="1"/>
    <col min="9983" max="9983" width="8.25390625" style="134" customWidth="1"/>
    <col min="9984" max="9984" width="53.125" style="134" customWidth="1"/>
    <col min="9985" max="9985" width="18.00390625" style="134" customWidth="1"/>
    <col min="9986" max="9987" width="17.625" style="134" customWidth="1"/>
    <col min="9988" max="9988" width="32.25390625" style="134" customWidth="1"/>
    <col min="9989" max="10238" width="14.75390625" style="134" customWidth="1"/>
    <col min="10239" max="10239" width="8.25390625" style="134" customWidth="1"/>
    <col min="10240" max="10240" width="53.125" style="134" customWidth="1"/>
    <col min="10241" max="10241" width="18.00390625" style="134" customWidth="1"/>
    <col min="10242" max="10243" width="17.625" style="134" customWidth="1"/>
    <col min="10244" max="10244" width="32.25390625" style="134" customWidth="1"/>
    <col min="10245" max="10494" width="14.75390625" style="134" customWidth="1"/>
    <col min="10495" max="10495" width="8.25390625" style="134" customWidth="1"/>
    <col min="10496" max="10496" width="53.125" style="134" customWidth="1"/>
    <col min="10497" max="10497" width="18.00390625" style="134" customWidth="1"/>
    <col min="10498" max="10499" width="17.625" style="134" customWidth="1"/>
    <col min="10500" max="10500" width="32.25390625" style="134" customWidth="1"/>
    <col min="10501" max="10750" width="14.75390625" style="134" customWidth="1"/>
    <col min="10751" max="10751" width="8.25390625" style="134" customWidth="1"/>
    <col min="10752" max="10752" width="53.125" style="134" customWidth="1"/>
    <col min="10753" max="10753" width="18.00390625" style="134" customWidth="1"/>
    <col min="10754" max="10755" width="17.625" style="134" customWidth="1"/>
    <col min="10756" max="10756" width="32.25390625" style="134" customWidth="1"/>
    <col min="10757" max="11006" width="14.75390625" style="134" customWidth="1"/>
    <col min="11007" max="11007" width="8.25390625" style="134" customWidth="1"/>
    <col min="11008" max="11008" width="53.125" style="134" customWidth="1"/>
    <col min="11009" max="11009" width="18.00390625" style="134" customWidth="1"/>
    <col min="11010" max="11011" width="17.625" style="134" customWidth="1"/>
    <col min="11012" max="11012" width="32.25390625" style="134" customWidth="1"/>
    <col min="11013" max="11262" width="14.75390625" style="134" customWidth="1"/>
    <col min="11263" max="11263" width="8.25390625" style="134" customWidth="1"/>
    <col min="11264" max="11264" width="53.125" style="134" customWidth="1"/>
    <col min="11265" max="11265" width="18.00390625" style="134" customWidth="1"/>
    <col min="11266" max="11267" width="17.625" style="134" customWidth="1"/>
    <col min="11268" max="11268" width="32.25390625" style="134" customWidth="1"/>
    <col min="11269" max="11518" width="14.75390625" style="134" customWidth="1"/>
    <col min="11519" max="11519" width="8.25390625" style="134" customWidth="1"/>
    <col min="11520" max="11520" width="53.125" style="134" customWidth="1"/>
    <col min="11521" max="11521" width="18.00390625" style="134" customWidth="1"/>
    <col min="11522" max="11523" width="17.625" style="134" customWidth="1"/>
    <col min="11524" max="11524" width="32.25390625" style="134" customWidth="1"/>
    <col min="11525" max="11774" width="14.75390625" style="134" customWidth="1"/>
    <col min="11775" max="11775" width="8.25390625" style="134" customWidth="1"/>
    <col min="11776" max="11776" width="53.125" style="134" customWidth="1"/>
    <col min="11777" max="11777" width="18.00390625" style="134" customWidth="1"/>
    <col min="11778" max="11779" width="17.625" style="134" customWidth="1"/>
    <col min="11780" max="11780" width="32.25390625" style="134" customWidth="1"/>
    <col min="11781" max="12030" width="14.75390625" style="134" customWidth="1"/>
    <col min="12031" max="12031" width="8.25390625" style="134" customWidth="1"/>
    <col min="12032" max="12032" width="53.125" style="134" customWidth="1"/>
    <col min="12033" max="12033" width="18.00390625" style="134" customWidth="1"/>
    <col min="12034" max="12035" width="17.625" style="134" customWidth="1"/>
    <col min="12036" max="12036" width="32.25390625" style="134" customWidth="1"/>
    <col min="12037" max="12286" width="14.75390625" style="134" customWidth="1"/>
    <col min="12287" max="12287" width="8.25390625" style="134" customWidth="1"/>
    <col min="12288" max="12288" width="53.125" style="134" customWidth="1"/>
    <col min="12289" max="12289" width="18.00390625" style="134" customWidth="1"/>
    <col min="12290" max="12291" width="17.625" style="134" customWidth="1"/>
    <col min="12292" max="12292" width="32.25390625" style="134" customWidth="1"/>
    <col min="12293" max="12542" width="14.75390625" style="134" customWidth="1"/>
    <col min="12543" max="12543" width="8.25390625" style="134" customWidth="1"/>
    <col min="12544" max="12544" width="53.125" style="134" customWidth="1"/>
    <col min="12545" max="12545" width="18.00390625" style="134" customWidth="1"/>
    <col min="12546" max="12547" width="17.625" style="134" customWidth="1"/>
    <col min="12548" max="12548" width="32.25390625" style="134" customWidth="1"/>
    <col min="12549" max="12798" width="14.75390625" style="134" customWidth="1"/>
    <col min="12799" max="12799" width="8.25390625" style="134" customWidth="1"/>
    <col min="12800" max="12800" width="53.125" style="134" customWidth="1"/>
    <col min="12801" max="12801" width="18.00390625" style="134" customWidth="1"/>
    <col min="12802" max="12803" width="17.625" style="134" customWidth="1"/>
    <col min="12804" max="12804" width="32.25390625" style="134" customWidth="1"/>
    <col min="12805" max="13054" width="14.75390625" style="134" customWidth="1"/>
    <col min="13055" max="13055" width="8.25390625" style="134" customWidth="1"/>
    <col min="13056" max="13056" width="53.125" style="134" customWidth="1"/>
    <col min="13057" max="13057" width="18.00390625" style="134" customWidth="1"/>
    <col min="13058" max="13059" width="17.625" style="134" customWidth="1"/>
    <col min="13060" max="13060" width="32.25390625" style="134" customWidth="1"/>
    <col min="13061" max="13310" width="14.75390625" style="134" customWidth="1"/>
    <col min="13311" max="13311" width="8.25390625" style="134" customWidth="1"/>
    <col min="13312" max="13312" width="53.125" style="134" customWidth="1"/>
    <col min="13313" max="13313" width="18.00390625" style="134" customWidth="1"/>
    <col min="13314" max="13315" width="17.625" style="134" customWidth="1"/>
    <col min="13316" max="13316" width="32.25390625" style="134" customWidth="1"/>
    <col min="13317" max="13566" width="14.75390625" style="134" customWidth="1"/>
    <col min="13567" max="13567" width="8.25390625" style="134" customWidth="1"/>
    <col min="13568" max="13568" width="53.125" style="134" customWidth="1"/>
    <col min="13569" max="13569" width="18.00390625" style="134" customWidth="1"/>
    <col min="13570" max="13571" width="17.625" style="134" customWidth="1"/>
    <col min="13572" max="13572" width="32.25390625" style="134" customWidth="1"/>
    <col min="13573" max="13822" width="14.75390625" style="134" customWidth="1"/>
    <col min="13823" max="13823" width="8.25390625" style="134" customWidth="1"/>
    <col min="13824" max="13824" width="53.125" style="134" customWidth="1"/>
    <col min="13825" max="13825" width="18.00390625" style="134" customWidth="1"/>
    <col min="13826" max="13827" width="17.625" style="134" customWidth="1"/>
    <col min="13828" max="13828" width="32.25390625" style="134" customWidth="1"/>
    <col min="13829" max="14078" width="14.75390625" style="134" customWidth="1"/>
    <col min="14079" max="14079" width="8.25390625" style="134" customWidth="1"/>
    <col min="14080" max="14080" width="53.125" style="134" customWidth="1"/>
    <col min="14081" max="14081" width="18.00390625" style="134" customWidth="1"/>
    <col min="14082" max="14083" width="17.625" style="134" customWidth="1"/>
    <col min="14084" max="14084" width="32.25390625" style="134" customWidth="1"/>
    <col min="14085" max="14334" width="14.75390625" style="134" customWidth="1"/>
    <col min="14335" max="14335" width="8.25390625" style="134" customWidth="1"/>
    <col min="14336" max="14336" width="53.125" style="134" customWidth="1"/>
    <col min="14337" max="14337" width="18.00390625" style="134" customWidth="1"/>
    <col min="14338" max="14339" width="17.625" style="134" customWidth="1"/>
    <col min="14340" max="14340" width="32.25390625" style="134" customWidth="1"/>
    <col min="14341" max="14590" width="14.75390625" style="134" customWidth="1"/>
    <col min="14591" max="14591" width="8.25390625" style="134" customWidth="1"/>
    <col min="14592" max="14592" width="53.125" style="134" customWidth="1"/>
    <col min="14593" max="14593" width="18.00390625" style="134" customWidth="1"/>
    <col min="14594" max="14595" width="17.625" style="134" customWidth="1"/>
    <col min="14596" max="14596" width="32.25390625" style="134" customWidth="1"/>
    <col min="14597" max="14846" width="14.75390625" style="134" customWidth="1"/>
    <col min="14847" max="14847" width="8.25390625" style="134" customWidth="1"/>
    <col min="14848" max="14848" width="53.125" style="134" customWidth="1"/>
    <col min="14849" max="14849" width="18.00390625" style="134" customWidth="1"/>
    <col min="14850" max="14851" width="17.625" style="134" customWidth="1"/>
    <col min="14852" max="14852" width="32.25390625" style="134" customWidth="1"/>
    <col min="14853" max="15102" width="14.75390625" style="134" customWidth="1"/>
    <col min="15103" max="15103" width="8.25390625" style="134" customWidth="1"/>
    <col min="15104" max="15104" width="53.125" style="134" customWidth="1"/>
    <col min="15105" max="15105" width="18.00390625" style="134" customWidth="1"/>
    <col min="15106" max="15107" width="17.625" style="134" customWidth="1"/>
    <col min="15108" max="15108" width="32.25390625" style="134" customWidth="1"/>
    <col min="15109" max="15358" width="14.75390625" style="134" customWidth="1"/>
    <col min="15359" max="15359" width="8.25390625" style="134" customWidth="1"/>
    <col min="15360" max="15360" width="53.125" style="134" customWidth="1"/>
    <col min="15361" max="15361" width="18.00390625" style="134" customWidth="1"/>
    <col min="15362" max="15363" width="17.625" style="134" customWidth="1"/>
    <col min="15364" max="15364" width="32.25390625" style="134" customWidth="1"/>
    <col min="15365" max="15614" width="14.75390625" style="134" customWidth="1"/>
    <col min="15615" max="15615" width="8.25390625" style="134" customWidth="1"/>
    <col min="15616" max="15616" width="53.125" style="134" customWidth="1"/>
    <col min="15617" max="15617" width="18.00390625" style="134" customWidth="1"/>
    <col min="15618" max="15619" width="17.625" style="134" customWidth="1"/>
    <col min="15620" max="15620" width="32.25390625" style="134" customWidth="1"/>
    <col min="15621" max="15870" width="14.75390625" style="134" customWidth="1"/>
    <col min="15871" max="15871" width="8.25390625" style="134" customWidth="1"/>
    <col min="15872" max="15872" width="53.125" style="134" customWidth="1"/>
    <col min="15873" max="15873" width="18.00390625" style="134" customWidth="1"/>
    <col min="15874" max="15875" width="17.625" style="134" customWidth="1"/>
    <col min="15876" max="15876" width="32.25390625" style="134" customWidth="1"/>
    <col min="15877" max="16126" width="14.75390625" style="134" customWidth="1"/>
    <col min="16127" max="16127" width="8.25390625" style="134" customWidth="1"/>
    <col min="16128" max="16128" width="53.125" style="134" customWidth="1"/>
    <col min="16129" max="16129" width="18.00390625" style="134" customWidth="1"/>
    <col min="16130" max="16131" width="17.625" style="134" customWidth="1"/>
    <col min="16132" max="16132" width="32.25390625" style="134" customWidth="1"/>
    <col min="16133" max="16384" width="14.75390625" style="134" customWidth="1"/>
  </cols>
  <sheetData>
    <row r="1" spans="2:4" ht="12.75">
      <c r="B1" s="281" t="s">
        <v>639</v>
      </c>
      <c r="C1" s="281"/>
      <c r="D1" s="281"/>
    </row>
    <row r="2" spans="2:4" ht="19.5" customHeight="1">
      <c r="B2" s="282" t="s">
        <v>1152</v>
      </c>
      <c r="C2" s="282"/>
      <c r="D2" s="282"/>
    </row>
    <row r="3" spans="2:4" ht="12.75">
      <c r="B3" s="281" t="s">
        <v>1147</v>
      </c>
      <c r="C3" s="281"/>
      <c r="D3" s="281"/>
    </row>
    <row r="4" spans="2:3" ht="12.75">
      <c r="B4" s="135"/>
      <c r="C4" s="135"/>
    </row>
    <row r="5" spans="1:4" ht="55.5" customHeight="1">
      <c r="A5" s="283" t="s">
        <v>640</v>
      </c>
      <c r="B5" s="283"/>
      <c r="C5" s="283"/>
      <c r="D5" s="283"/>
    </row>
    <row r="6" spans="1:3" ht="28.5" customHeight="1">
      <c r="A6" s="284" t="s">
        <v>629</v>
      </c>
      <c r="B6" s="284"/>
      <c r="C6" s="284"/>
    </row>
    <row r="7" spans="1:3" ht="16.5" customHeight="1">
      <c r="A7" s="136" t="s">
        <v>630</v>
      </c>
      <c r="B7" s="136" t="s">
        <v>631</v>
      </c>
      <c r="C7" s="136"/>
    </row>
    <row r="8" spans="1:4" ht="12.75">
      <c r="A8" s="137"/>
      <c r="D8" s="111" t="s">
        <v>641</v>
      </c>
    </row>
    <row r="9" spans="1:4" s="138" customFormat="1" ht="49.5">
      <c r="A9" s="110" t="s">
        <v>632</v>
      </c>
      <c r="B9" s="110" t="s">
        <v>633</v>
      </c>
      <c r="C9" s="110" t="s">
        <v>575</v>
      </c>
      <c r="D9" s="16" t="s">
        <v>576</v>
      </c>
    </row>
    <row r="10" spans="1:4" s="138" customFormat="1" ht="12.75">
      <c r="A10" s="110">
        <v>1</v>
      </c>
      <c r="B10" s="110">
        <v>2</v>
      </c>
      <c r="C10" s="110">
        <v>3</v>
      </c>
      <c r="D10" s="110">
        <v>4</v>
      </c>
    </row>
    <row r="11" spans="1:4" ht="33">
      <c r="A11" s="110">
        <v>1</v>
      </c>
      <c r="B11" s="139" t="s">
        <v>634</v>
      </c>
      <c r="C11" s="140">
        <v>20000</v>
      </c>
      <c r="D11" s="140">
        <v>20000</v>
      </c>
    </row>
    <row r="12" spans="1:4" ht="12.75">
      <c r="A12" s="141"/>
      <c r="B12" s="142" t="s">
        <v>635</v>
      </c>
      <c r="C12" s="143">
        <f>C11</f>
        <v>20000</v>
      </c>
      <c r="D12" s="143">
        <f>D11</f>
        <v>20000</v>
      </c>
    </row>
    <row r="13" ht="12.75">
      <c r="A13" s="137"/>
    </row>
    <row r="14" spans="1:4" ht="42" customHeight="1">
      <c r="A14" s="280" t="s">
        <v>1142</v>
      </c>
      <c r="B14" s="280"/>
      <c r="C14" s="280"/>
      <c r="D14" s="2"/>
    </row>
    <row r="15" spans="1:3" ht="16.5" customHeight="1">
      <c r="A15" s="280" t="s">
        <v>636</v>
      </c>
      <c r="B15" s="280"/>
      <c r="C15" s="280"/>
    </row>
    <row r="17" spans="1:4" s="138" customFormat="1" ht="49.5">
      <c r="A17" s="110" t="s">
        <v>632</v>
      </c>
      <c r="B17" s="110" t="s">
        <v>637</v>
      </c>
      <c r="C17" s="110" t="s">
        <v>575</v>
      </c>
      <c r="D17" s="16" t="s">
        <v>576</v>
      </c>
    </row>
    <row r="18" spans="1:4" s="138" customFormat="1" ht="12.75">
      <c r="A18" s="110">
        <v>1</v>
      </c>
      <c r="B18" s="110">
        <v>2</v>
      </c>
      <c r="C18" s="110">
        <v>3</v>
      </c>
      <c r="D18" s="110">
        <v>4</v>
      </c>
    </row>
    <row r="19" spans="1:4" ht="33">
      <c r="A19" s="110">
        <v>1</v>
      </c>
      <c r="B19" s="139" t="s">
        <v>638</v>
      </c>
      <c r="C19" s="140">
        <v>0</v>
      </c>
      <c r="D19" s="140">
        <v>0</v>
      </c>
    </row>
    <row r="20" spans="1:4" ht="12.75">
      <c r="A20" s="141"/>
      <c r="B20" s="142" t="s">
        <v>635</v>
      </c>
      <c r="C20" s="143">
        <f>C19</f>
        <v>0</v>
      </c>
      <c r="D20" s="143">
        <f>D19</f>
        <v>0</v>
      </c>
    </row>
  </sheetData>
  <mergeCells count="7">
    <mergeCell ref="A15:C15"/>
    <mergeCell ref="B1:D1"/>
    <mergeCell ref="B2:D2"/>
    <mergeCell ref="B3:D3"/>
    <mergeCell ref="A5:D5"/>
    <mergeCell ref="A6:C6"/>
    <mergeCell ref="A14:C14"/>
  </mergeCells>
  <printOptions/>
  <pageMargins left="0.7086614173228347" right="0.31496062992125984" top="0.35433070866141736" bottom="0.15748031496062992" header="0.31496062992125984" footer="0.31496062992125984"/>
  <pageSetup fitToHeight="0"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WVM19"/>
  <sheetViews>
    <sheetView zoomScale="90" zoomScaleNormal="90" workbookViewId="0" topLeftCell="A1">
      <selection activeCell="F24" sqref="F24"/>
    </sheetView>
  </sheetViews>
  <sheetFormatPr defaultColWidth="9.125" defaultRowHeight="12.75"/>
  <cols>
    <col min="1" max="1" width="54.875" style="2" customWidth="1"/>
    <col min="2" max="2" width="18.75390625" style="2" customWidth="1"/>
    <col min="3" max="3" width="28.00390625" style="2" customWidth="1"/>
    <col min="4" max="4" width="13.125" style="24" customWidth="1"/>
    <col min="5" max="5" width="12.25390625" style="2" customWidth="1"/>
    <col min="6" max="256" width="9.125" style="2" customWidth="1"/>
    <col min="257" max="257" width="54.875" style="2" customWidth="1"/>
    <col min="258" max="258" width="18.75390625" style="2" customWidth="1"/>
    <col min="259" max="259" width="26.75390625" style="2" customWidth="1"/>
    <col min="260" max="260" width="13.125" style="2" customWidth="1"/>
    <col min="261" max="261" width="12.25390625" style="2" customWidth="1"/>
    <col min="262" max="512" width="9.125" style="2" customWidth="1"/>
    <col min="513" max="513" width="54.875" style="2" customWidth="1"/>
    <col min="514" max="514" width="18.75390625" style="2" customWidth="1"/>
    <col min="515" max="515" width="26.75390625" style="2" customWidth="1"/>
    <col min="516" max="516" width="13.125" style="2" customWidth="1"/>
    <col min="517" max="517" width="12.25390625" style="2" customWidth="1"/>
    <col min="518" max="768" width="9.125" style="2" customWidth="1"/>
    <col min="769" max="769" width="54.875" style="2" customWidth="1"/>
    <col min="770" max="770" width="18.75390625" style="2" customWidth="1"/>
    <col min="771" max="771" width="26.75390625" style="2" customWidth="1"/>
    <col min="772" max="772" width="13.125" style="2" customWidth="1"/>
    <col min="773" max="773" width="12.25390625" style="2" customWidth="1"/>
    <col min="774" max="1024" width="9.125" style="2" customWidth="1"/>
    <col min="1025" max="1025" width="54.875" style="2" customWidth="1"/>
    <col min="1026" max="1026" width="18.75390625" style="2" customWidth="1"/>
    <col min="1027" max="1027" width="26.75390625" style="2" customWidth="1"/>
    <col min="1028" max="1028" width="13.125" style="2" customWidth="1"/>
    <col min="1029" max="1029" width="12.25390625" style="2" customWidth="1"/>
    <col min="1030" max="1280" width="9.125" style="2" customWidth="1"/>
    <col min="1281" max="1281" width="54.875" style="2" customWidth="1"/>
    <col min="1282" max="1282" width="18.75390625" style="2" customWidth="1"/>
    <col min="1283" max="1283" width="26.75390625" style="2" customWidth="1"/>
    <col min="1284" max="1284" width="13.125" style="2" customWidth="1"/>
    <col min="1285" max="1285" width="12.25390625" style="2" customWidth="1"/>
    <col min="1286" max="1536" width="9.125" style="2" customWidth="1"/>
    <col min="1537" max="1537" width="54.875" style="2" customWidth="1"/>
    <col min="1538" max="1538" width="18.75390625" style="2" customWidth="1"/>
    <col min="1539" max="1539" width="26.75390625" style="2" customWidth="1"/>
    <col min="1540" max="1540" width="13.125" style="2" customWidth="1"/>
    <col min="1541" max="1541" width="12.25390625" style="2" customWidth="1"/>
    <col min="1542" max="1792" width="9.125" style="2" customWidth="1"/>
    <col min="1793" max="1793" width="54.875" style="2" customWidth="1"/>
    <col min="1794" max="1794" width="18.75390625" style="2" customWidth="1"/>
    <col min="1795" max="1795" width="26.75390625" style="2" customWidth="1"/>
    <col min="1796" max="1796" width="13.125" style="2" customWidth="1"/>
    <col min="1797" max="1797" width="12.25390625" style="2" customWidth="1"/>
    <col min="1798" max="2048" width="9.125" style="2" customWidth="1"/>
    <col min="2049" max="2049" width="54.875" style="2" customWidth="1"/>
    <col min="2050" max="2050" width="18.75390625" style="2" customWidth="1"/>
    <col min="2051" max="2051" width="26.75390625" style="2" customWidth="1"/>
    <col min="2052" max="2052" width="13.125" style="2" customWidth="1"/>
    <col min="2053" max="2053" width="12.25390625" style="2" customWidth="1"/>
    <col min="2054" max="2304" width="9.125" style="2" customWidth="1"/>
    <col min="2305" max="2305" width="54.875" style="2" customWidth="1"/>
    <col min="2306" max="2306" width="18.75390625" style="2" customWidth="1"/>
    <col min="2307" max="2307" width="26.75390625" style="2" customWidth="1"/>
    <col min="2308" max="2308" width="13.125" style="2" customWidth="1"/>
    <col min="2309" max="2309" width="12.25390625" style="2" customWidth="1"/>
    <col min="2310" max="2560" width="9.125" style="2" customWidth="1"/>
    <col min="2561" max="2561" width="54.875" style="2" customWidth="1"/>
    <col min="2562" max="2562" width="18.75390625" style="2" customWidth="1"/>
    <col min="2563" max="2563" width="26.75390625" style="2" customWidth="1"/>
    <col min="2564" max="2564" width="13.125" style="2" customWidth="1"/>
    <col min="2565" max="2565" width="12.25390625" style="2" customWidth="1"/>
    <col min="2566" max="2816" width="9.125" style="2" customWidth="1"/>
    <col min="2817" max="2817" width="54.875" style="2" customWidth="1"/>
    <col min="2818" max="2818" width="18.75390625" style="2" customWidth="1"/>
    <col min="2819" max="2819" width="26.75390625" style="2" customWidth="1"/>
    <col min="2820" max="2820" width="13.125" style="2" customWidth="1"/>
    <col min="2821" max="2821" width="12.25390625" style="2" customWidth="1"/>
    <col min="2822" max="3072" width="9.125" style="2" customWidth="1"/>
    <col min="3073" max="3073" width="54.875" style="2" customWidth="1"/>
    <col min="3074" max="3074" width="18.75390625" style="2" customWidth="1"/>
    <col min="3075" max="3075" width="26.75390625" style="2" customWidth="1"/>
    <col min="3076" max="3076" width="13.125" style="2" customWidth="1"/>
    <col min="3077" max="3077" width="12.25390625" style="2" customWidth="1"/>
    <col min="3078" max="3328" width="9.125" style="2" customWidth="1"/>
    <col min="3329" max="3329" width="54.875" style="2" customWidth="1"/>
    <col min="3330" max="3330" width="18.75390625" style="2" customWidth="1"/>
    <col min="3331" max="3331" width="26.75390625" style="2" customWidth="1"/>
    <col min="3332" max="3332" width="13.125" style="2" customWidth="1"/>
    <col min="3333" max="3333" width="12.25390625" style="2" customWidth="1"/>
    <col min="3334" max="3584" width="9.125" style="2" customWidth="1"/>
    <col min="3585" max="3585" width="54.875" style="2" customWidth="1"/>
    <col min="3586" max="3586" width="18.75390625" style="2" customWidth="1"/>
    <col min="3587" max="3587" width="26.75390625" style="2" customWidth="1"/>
    <col min="3588" max="3588" width="13.125" style="2" customWidth="1"/>
    <col min="3589" max="3589" width="12.25390625" style="2" customWidth="1"/>
    <col min="3590" max="3840" width="9.125" style="2" customWidth="1"/>
    <col min="3841" max="3841" width="54.875" style="2" customWidth="1"/>
    <col min="3842" max="3842" width="18.75390625" style="2" customWidth="1"/>
    <col min="3843" max="3843" width="26.75390625" style="2" customWidth="1"/>
    <col min="3844" max="3844" width="13.125" style="2" customWidth="1"/>
    <col min="3845" max="3845" width="12.25390625" style="2" customWidth="1"/>
    <col min="3846" max="4096" width="9.125" style="2" customWidth="1"/>
    <col min="4097" max="4097" width="54.875" style="2" customWidth="1"/>
    <col min="4098" max="4098" width="18.75390625" style="2" customWidth="1"/>
    <col min="4099" max="4099" width="26.75390625" style="2" customWidth="1"/>
    <col min="4100" max="4100" width="13.125" style="2" customWidth="1"/>
    <col min="4101" max="4101" width="12.25390625" style="2" customWidth="1"/>
    <col min="4102" max="4352" width="9.125" style="2" customWidth="1"/>
    <col min="4353" max="4353" width="54.875" style="2" customWidth="1"/>
    <col min="4354" max="4354" width="18.75390625" style="2" customWidth="1"/>
    <col min="4355" max="4355" width="26.75390625" style="2" customWidth="1"/>
    <col min="4356" max="4356" width="13.125" style="2" customWidth="1"/>
    <col min="4357" max="4357" width="12.25390625" style="2" customWidth="1"/>
    <col min="4358" max="4608" width="9.125" style="2" customWidth="1"/>
    <col min="4609" max="4609" width="54.875" style="2" customWidth="1"/>
    <col min="4610" max="4610" width="18.75390625" style="2" customWidth="1"/>
    <col min="4611" max="4611" width="26.75390625" style="2" customWidth="1"/>
    <col min="4612" max="4612" width="13.125" style="2" customWidth="1"/>
    <col min="4613" max="4613" width="12.25390625" style="2" customWidth="1"/>
    <col min="4614" max="4864" width="9.125" style="2" customWidth="1"/>
    <col min="4865" max="4865" width="54.875" style="2" customWidth="1"/>
    <col min="4866" max="4866" width="18.75390625" style="2" customWidth="1"/>
    <col min="4867" max="4867" width="26.75390625" style="2" customWidth="1"/>
    <col min="4868" max="4868" width="13.125" style="2" customWidth="1"/>
    <col min="4869" max="4869" width="12.25390625" style="2" customWidth="1"/>
    <col min="4870" max="5120" width="9.125" style="2" customWidth="1"/>
    <col min="5121" max="5121" width="54.875" style="2" customWidth="1"/>
    <col min="5122" max="5122" width="18.75390625" style="2" customWidth="1"/>
    <col min="5123" max="5123" width="26.75390625" style="2" customWidth="1"/>
    <col min="5124" max="5124" width="13.125" style="2" customWidth="1"/>
    <col min="5125" max="5125" width="12.25390625" style="2" customWidth="1"/>
    <col min="5126" max="5376" width="9.125" style="2" customWidth="1"/>
    <col min="5377" max="5377" width="54.875" style="2" customWidth="1"/>
    <col min="5378" max="5378" width="18.75390625" style="2" customWidth="1"/>
    <col min="5379" max="5379" width="26.75390625" style="2" customWidth="1"/>
    <col min="5380" max="5380" width="13.125" style="2" customWidth="1"/>
    <col min="5381" max="5381" width="12.25390625" style="2" customWidth="1"/>
    <col min="5382" max="5632" width="9.125" style="2" customWidth="1"/>
    <col min="5633" max="5633" width="54.875" style="2" customWidth="1"/>
    <col min="5634" max="5634" width="18.75390625" style="2" customWidth="1"/>
    <col min="5635" max="5635" width="26.75390625" style="2" customWidth="1"/>
    <col min="5636" max="5636" width="13.125" style="2" customWidth="1"/>
    <col min="5637" max="5637" width="12.25390625" style="2" customWidth="1"/>
    <col min="5638" max="5888" width="9.125" style="2" customWidth="1"/>
    <col min="5889" max="5889" width="54.875" style="2" customWidth="1"/>
    <col min="5890" max="5890" width="18.75390625" style="2" customWidth="1"/>
    <col min="5891" max="5891" width="26.75390625" style="2" customWidth="1"/>
    <col min="5892" max="5892" width="13.125" style="2" customWidth="1"/>
    <col min="5893" max="5893" width="12.25390625" style="2" customWidth="1"/>
    <col min="5894" max="6144" width="9.125" style="2" customWidth="1"/>
    <col min="6145" max="6145" width="54.875" style="2" customWidth="1"/>
    <col min="6146" max="6146" width="18.75390625" style="2" customWidth="1"/>
    <col min="6147" max="6147" width="26.75390625" style="2" customWidth="1"/>
    <col min="6148" max="6148" width="13.125" style="2" customWidth="1"/>
    <col min="6149" max="6149" width="12.25390625" style="2" customWidth="1"/>
    <col min="6150" max="6400" width="9.125" style="2" customWidth="1"/>
    <col min="6401" max="6401" width="54.875" style="2" customWidth="1"/>
    <col min="6402" max="6402" width="18.75390625" style="2" customWidth="1"/>
    <col min="6403" max="6403" width="26.75390625" style="2" customWidth="1"/>
    <col min="6404" max="6404" width="13.125" style="2" customWidth="1"/>
    <col min="6405" max="6405" width="12.25390625" style="2" customWidth="1"/>
    <col min="6406" max="6656" width="9.125" style="2" customWidth="1"/>
    <col min="6657" max="6657" width="54.875" style="2" customWidth="1"/>
    <col min="6658" max="6658" width="18.75390625" style="2" customWidth="1"/>
    <col min="6659" max="6659" width="26.75390625" style="2" customWidth="1"/>
    <col min="6660" max="6660" width="13.125" style="2" customWidth="1"/>
    <col min="6661" max="6661" width="12.25390625" style="2" customWidth="1"/>
    <col min="6662" max="6912" width="9.125" style="2" customWidth="1"/>
    <col min="6913" max="6913" width="54.875" style="2" customWidth="1"/>
    <col min="6914" max="6914" width="18.75390625" style="2" customWidth="1"/>
    <col min="6915" max="6915" width="26.75390625" style="2" customWidth="1"/>
    <col min="6916" max="6916" width="13.125" style="2" customWidth="1"/>
    <col min="6917" max="6917" width="12.25390625" style="2" customWidth="1"/>
    <col min="6918" max="7168" width="9.125" style="2" customWidth="1"/>
    <col min="7169" max="7169" width="54.875" style="2" customWidth="1"/>
    <col min="7170" max="7170" width="18.75390625" style="2" customWidth="1"/>
    <col min="7171" max="7171" width="26.75390625" style="2" customWidth="1"/>
    <col min="7172" max="7172" width="13.125" style="2" customWidth="1"/>
    <col min="7173" max="7173" width="12.25390625" style="2" customWidth="1"/>
    <col min="7174" max="7424" width="9.125" style="2" customWidth="1"/>
    <col min="7425" max="7425" width="54.875" style="2" customWidth="1"/>
    <col min="7426" max="7426" width="18.75390625" style="2" customWidth="1"/>
    <col min="7427" max="7427" width="26.75390625" style="2" customWidth="1"/>
    <col min="7428" max="7428" width="13.125" style="2" customWidth="1"/>
    <col min="7429" max="7429" width="12.25390625" style="2" customWidth="1"/>
    <col min="7430" max="7680" width="9.125" style="2" customWidth="1"/>
    <col min="7681" max="7681" width="54.875" style="2" customWidth="1"/>
    <col min="7682" max="7682" width="18.75390625" style="2" customWidth="1"/>
    <col min="7683" max="7683" width="26.75390625" style="2" customWidth="1"/>
    <col min="7684" max="7684" width="13.125" style="2" customWidth="1"/>
    <col min="7685" max="7685" width="12.25390625" style="2" customWidth="1"/>
    <col min="7686" max="7936" width="9.125" style="2" customWidth="1"/>
    <col min="7937" max="7937" width="54.875" style="2" customWidth="1"/>
    <col min="7938" max="7938" width="18.75390625" style="2" customWidth="1"/>
    <col min="7939" max="7939" width="26.75390625" style="2" customWidth="1"/>
    <col min="7940" max="7940" width="13.125" style="2" customWidth="1"/>
    <col min="7941" max="7941" width="12.25390625" style="2" customWidth="1"/>
    <col min="7942" max="8192" width="9.125" style="2" customWidth="1"/>
    <col min="8193" max="8193" width="54.875" style="2" customWidth="1"/>
    <col min="8194" max="8194" width="18.75390625" style="2" customWidth="1"/>
    <col min="8195" max="8195" width="26.75390625" style="2" customWidth="1"/>
    <col min="8196" max="8196" width="13.125" style="2" customWidth="1"/>
    <col min="8197" max="8197" width="12.25390625" style="2" customWidth="1"/>
    <col min="8198" max="8448" width="9.125" style="2" customWidth="1"/>
    <col min="8449" max="8449" width="54.875" style="2" customWidth="1"/>
    <col min="8450" max="8450" width="18.75390625" style="2" customWidth="1"/>
    <col min="8451" max="8451" width="26.75390625" style="2" customWidth="1"/>
    <col min="8452" max="8452" width="13.125" style="2" customWidth="1"/>
    <col min="8453" max="8453" width="12.25390625" style="2" customWidth="1"/>
    <col min="8454" max="8704" width="9.125" style="2" customWidth="1"/>
    <col min="8705" max="8705" width="54.875" style="2" customWidth="1"/>
    <col min="8706" max="8706" width="18.75390625" style="2" customWidth="1"/>
    <col min="8707" max="8707" width="26.75390625" style="2" customWidth="1"/>
    <col min="8708" max="8708" width="13.125" style="2" customWidth="1"/>
    <col min="8709" max="8709" width="12.25390625" style="2" customWidth="1"/>
    <col min="8710" max="8960" width="9.125" style="2" customWidth="1"/>
    <col min="8961" max="8961" width="54.875" style="2" customWidth="1"/>
    <col min="8962" max="8962" width="18.75390625" style="2" customWidth="1"/>
    <col min="8963" max="8963" width="26.75390625" style="2" customWidth="1"/>
    <col min="8964" max="8964" width="13.125" style="2" customWidth="1"/>
    <col min="8965" max="8965" width="12.25390625" style="2" customWidth="1"/>
    <col min="8966" max="9216" width="9.125" style="2" customWidth="1"/>
    <col min="9217" max="9217" width="54.875" style="2" customWidth="1"/>
    <col min="9218" max="9218" width="18.75390625" style="2" customWidth="1"/>
    <col min="9219" max="9219" width="26.75390625" style="2" customWidth="1"/>
    <col min="9220" max="9220" width="13.125" style="2" customWidth="1"/>
    <col min="9221" max="9221" width="12.25390625" style="2" customWidth="1"/>
    <col min="9222" max="9472" width="9.125" style="2" customWidth="1"/>
    <col min="9473" max="9473" width="54.875" style="2" customWidth="1"/>
    <col min="9474" max="9474" width="18.75390625" style="2" customWidth="1"/>
    <col min="9475" max="9475" width="26.75390625" style="2" customWidth="1"/>
    <col min="9476" max="9476" width="13.125" style="2" customWidth="1"/>
    <col min="9477" max="9477" width="12.25390625" style="2" customWidth="1"/>
    <col min="9478" max="9728" width="9.125" style="2" customWidth="1"/>
    <col min="9729" max="9729" width="54.875" style="2" customWidth="1"/>
    <col min="9730" max="9730" width="18.75390625" style="2" customWidth="1"/>
    <col min="9731" max="9731" width="26.75390625" style="2" customWidth="1"/>
    <col min="9732" max="9732" width="13.125" style="2" customWidth="1"/>
    <col min="9733" max="9733" width="12.25390625" style="2" customWidth="1"/>
    <col min="9734" max="9984" width="9.125" style="2" customWidth="1"/>
    <col min="9985" max="9985" width="54.875" style="2" customWidth="1"/>
    <col min="9986" max="9986" width="18.75390625" style="2" customWidth="1"/>
    <col min="9987" max="9987" width="26.75390625" style="2" customWidth="1"/>
    <col min="9988" max="9988" width="13.125" style="2" customWidth="1"/>
    <col min="9989" max="9989" width="12.25390625" style="2" customWidth="1"/>
    <col min="9990" max="10240" width="9.125" style="2" customWidth="1"/>
    <col min="10241" max="10241" width="54.875" style="2" customWidth="1"/>
    <col min="10242" max="10242" width="18.75390625" style="2" customWidth="1"/>
    <col min="10243" max="10243" width="26.75390625" style="2" customWidth="1"/>
    <col min="10244" max="10244" width="13.125" style="2" customWidth="1"/>
    <col min="10245" max="10245" width="12.25390625" style="2" customWidth="1"/>
    <col min="10246" max="10496" width="9.125" style="2" customWidth="1"/>
    <col min="10497" max="10497" width="54.875" style="2" customWidth="1"/>
    <col min="10498" max="10498" width="18.75390625" style="2" customWidth="1"/>
    <col min="10499" max="10499" width="26.75390625" style="2" customWidth="1"/>
    <col min="10500" max="10500" width="13.125" style="2" customWidth="1"/>
    <col min="10501" max="10501" width="12.25390625" style="2" customWidth="1"/>
    <col min="10502" max="10752" width="9.125" style="2" customWidth="1"/>
    <col min="10753" max="10753" width="54.875" style="2" customWidth="1"/>
    <col min="10754" max="10754" width="18.75390625" style="2" customWidth="1"/>
    <col min="10755" max="10755" width="26.75390625" style="2" customWidth="1"/>
    <col min="10756" max="10756" width="13.125" style="2" customWidth="1"/>
    <col min="10757" max="10757" width="12.25390625" style="2" customWidth="1"/>
    <col min="10758" max="11008" width="9.125" style="2" customWidth="1"/>
    <col min="11009" max="11009" width="54.875" style="2" customWidth="1"/>
    <col min="11010" max="11010" width="18.75390625" style="2" customWidth="1"/>
    <col min="11011" max="11011" width="26.75390625" style="2" customWidth="1"/>
    <col min="11012" max="11012" width="13.125" style="2" customWidth="1"/>
    <col min="11013" max="11013" width="12.25390625" style="2" customWidth="1"/>
    <col min="11014" max="11264" width="9.125" style="2" customWidth="1"/>
    <col min="11265" max="11265" width="54.875" style="2" customWidth="1"/>
    <col min="11266" max="11266" width="18.75390625" style="2" customWidth="1"/>
    <col min="11267" max="11267" width="26.75390625" style="2" customWidth="1"/>
    <col min="11268" max="11268" width="13.125" style="2" customWidth="1"/>
    <col min="11269" max="11269" width="12.25390625" style="2" customWidth="1"/>
    <col min="11270" max="11520" width="9.125" style="2" customWidth="1"/>
    <col min="11521" max="11521" width="54.875" style="2" customWidth="1"/>
    <col min="11522" max="11522" width="18.75390625" style="2" customWidth="1"/>
    <col min="11523" max="11523" width="26.75390625" style="2" customWidth="1"/>
    <col min="11524" max="11524" width="13.125" style="2" customWidth="1"/>
    <col min="11525" max="11525" width="12.25390625" style="2" customWidth="1"/>
    <col min="11526" max="11776" width="9.125" style="2" customWidth="1"/>
    <col min="11777" max="11777" width="54.875" style="2" customWidth="1"/>
    <col min="11778" max="11778" width="18.75390625" style="2" customWidth="1"/>
    <col min="11779" max="11779" width="26.75390625" style="2" customWidth="1"/>
    <col min="11780" max="11780" width="13.125" style="2" customWidth="1"/>
    <col min="11781" max="11781" width="12.25390625" style="2" customWidth="1"/>
    <col min="11782" max="12032" width="9.125" style="2" customWidth="1"/>
    <col min="12033" max="12033" width="54.875" style="2" customWidth="1"/>
    <col min="12034" max="12034" width="18.75390625" style="2" customWidth="1"/>
    <col min="12035" max="12035" width="26.75390625" style="2" customWidth="1"/>
    <col min="12036" max="12036" width="13.125" style="2" customWidth="1"/>
    <col min="12037" max="12037" width="12.25390625" style="2" customWidth="1"/>
    <col min="12038" max="12288" width="9.125" style="2" customWidth="1"/>
    <col min="12289" max="12289" width="54.875" style="2" customWidth="1"/>
    <col min="12290" max="12290" width="18.75390625" style="2" customWidth="1"/>
    <col min="12291" max="12291" width="26.75390625" style="2" customWidth="1"/>
    <col min="12292" max="12292" width="13.125" style="2" customWidth="1"/>
    <col min="12293" max="12293" width="12.25390625" style="2" customWidth="1"/>
    <col min="12294" max="12544" width="9.125" style="2" customWidth="1"/>
    <col min="12545" max="12545" width="54.875" style="2" customWidth="1"/>
    <col min="12546" max="12546" width="18.75390625" style="2" customWidth="1"/>
    <col min="12547" max="12547" width="26.75390625" style="2" customWidth="1"/>
    <col min="12548" max="12548" width="13.125" style="2" customWidth="1"/>
    <col min="12549" max="12549" width="12.25390625" style="2" customWidth="1"/>
    <col min="12550" max="12800" width="9.125" style="2" customWidth="1"/>
    <col min="12801" max="12801" width="54.875" style="2" customWidth="1"/>
    <col min="12802" max="12802" width="18.75390625" style="2" customWidth="1"/>
    <col min="12803" max="12803" width="26.75390625" style="2" customWidth="1"/>
    <col min="12804" max="12804" width="13.125" style="2" customWidth="1"/>
    <col min="12805" max="12805" width="12.25390625" style="2" customWidth="1"/>
    <col min="12806" max="13056" width="9.125" style="2" customWidth="1"/>
    <col min="13057" max="13057" width="54.875" style="2" customWidth="1"/>
    <col min="13058" max="13058" width="18.75390625" style="2" customWidth="1"/>
    <col min="13059" max="13059" width="26.75390625" style="2" customWidth="1"/>
    <col min="13060" max="13060" width="13.125" style="2" customWidth="1"/>
    <col min="13061" max="13061" width="12.25390625" style="2" customWidth="1"/>
    <col min="13062" max="13312" width="9.125" style="2" customWidth="1"/>
    <col min="13313" max="13313" width="54.875" style="2" customWidth="1"/>
    <col min="13314" max="13314" width="18.75390625" style="2" customWidth="1"/>
    <col min="13315" max="13315" width="26.75390625" style="2" customWidth="1"/>
    <col min="13316" max="13316" width="13.125" style="2" customWidth="1"/>
    <col min="13317" max="13317" width="12.25390625" style="2" customWidth="1"/>
    <col min="13318" max="13568" width="9.125" style="2" customWidth="1"/>
    <col min="13569" max="13569" width="54.875" style="2" customWidth="1"/>
    <col min="13570" max="13570" width="18.75390625" style="2" customWidth="1"/>
    <col min="13571" max="13571" width="26.75390625" style="2" customWidth="1"/>
    <col min="13572" max="13572" width="13.125" style="2" customWidth="1"/>
    <col min="13573" max="13573" width="12.25390625" style="2" customWidth="1"/>
    <col min="13574" max="13824" width="9.125" style="2" customWidth="1"/>
    <col min="13825" max="13825" width="54.875" style="2" customWidth="1"/>
    <col min="13826" max="13826" width="18.75390625" style="2" customWidth="1"/>
    <col min="13827" max="13827" width="26.75390625" style="2" customWidth="1"/>
    <col min="13828" max="13828" width="13.125" style="2" customWidth="1"/>
    <col min="13829" max="13829" width="12.25390625" style="2" customWidth="1"/>
    <col min="13830" max="14080" width="9.125" style="2" customWidth="1"/>
    <col min="14081" max="14081" width="54.875" style="2" customWidth="1"/>
    <col min="14082" max="14082" width="18.75390625" style="2" customWidth="1"/>
    <col min="14083" max="14083" width="26.75390625" style="2" customWidth="1"/>
    <col min="14084" max="14084" width="13.125" style="2" customWidth="1"/>
    <col min="14085" max="14085" width="12.25390625" style="2" customWidth="1"/>
    <col min="14086" max="14336" width="9.125" style="2" customWidth="1"/>
    <col min="14337" max="14337" width="54.875" style="2" customWidth="1"/>
    <col min="14338" max="14338" width="18.75390625" style="2" customWidth="1"/>
    <col min="14339" max="14339" width="26.75390625" style="2" customWidth="1"/>
    <col min="14340" max="14340" width="13.125" style="2" customWidth="1"/>
    <col min="14341" max="14341" width="12.25390625" style="2" customWidth="1"/>
    <col min="14342" max="14592" width="9.125" style="2" customWidth="1"/>
    <col min="14593" max="14593" width="54.875" style="2" customWidth="1"/>
    <col min="14594" max="14594" width="18.75390625" style="2" customWidth="1"/>
    <col min="14595" max="14595" width="26.75390625" style="2" customWidth="1"/>
    <col min="14596" max="14596" width="13.125" style="2" customWidth="1"/>
    <col min="14597" max="14597" width="12.25390625" style="2" customWidth="1"/>
    <col min="14598" max="14848" width="9.125" style="2" customWidth="1"/>
    <col min="14849" max="14849" width="54.875" style="2" customWidth="1"/>
    <col min="14850" max="14850" width="18.75390625" style="2" customWidth="1"/>
    <col min="14851" max="14851" width="26.75390625" style="2" customWidth="1"/>
    <col min="14852" max="14852" width="13.125" style="2" customWidth="1"/>
    <col min="14853" max="14853" width="12.25390625" style="2" customWidth="1"/>
    <col min="14854" max="15104" width="9.125" style="2" customWidth="1"/>
    <col min="15105" max="15105" width="54.875" style="2" customWidth="1"/>
    <col min="15106" max="15106" width="18.75390625" style="2" customWidth="1"/>
    <col min="15107" max="15107" width="26.75390625" style="2" customWidth="1"/>
    <col min="15108" max="15108" width="13.125" style="2" customWidth="1"/>
    <col min="15109" max="15109" width="12.25390625" style="2" customWidth="1"/>
    <col min="15110" max="15360" width="9.125" style="2" customWidth="1"/>
    <col min="15361" max="15361" width="54.875" style="2" customWidth="1"/>
    <col min="15362" max="15362" width="18.75390625" style="2" customWidth="1"/>
    <col min="15363" max="15363" width="26.75390625" style="2" customWidth="1"/>
    <col min="15364" max="15364" width="13.125" style="2" customWidth="1"/>
    <col min="15365" max="15365" width="12.25390625" style="2" customWidth="1"/>
    <col min="15366" max="15616" width="9.125" style="2" customWidth="1"/>
    <col min="15617" max="15617" width="54.875" style="2" customWidth="1"/>
    <col min="15618" max="15618" width="18.75390625" style="2" customWidth="1"/>
    <col min="15619" max="15619" width="26.75390625" style="2" customWidth="1"/>
    <col min="15620" max="15620" width="13.125" style="2" customWidth="1"/>
    <col min="15621" max="15621" width="12.25390625" style="2" customWidth="1"/>
    <col min="15622" max="15872" width="9.125" style="2" customWidth="1"/>
    <col min="15873" max="15873" width="54.875" style="2" customWidth="1"/>
    <col min="15874" max="15874" width="18.75390625" style="2" customWidth="1"/>
    <col min="15875" max="15875" width="26.75390625" style="2" customWidth="1"/>
    <col min="15876" max="15876" width="13.125" style="2" customWidth="1"/>
    <col min="15877" max="15877" width="12.25390625" style="2" customWidth="1"/>
    <col min="15878" max="16128" width="9.125" style="2" customWidth="1"/>
    <col min="16129" max="16129" width="54.875" style="2" customWidth="1"/>
    <col min="16130" max="16130" width="18.75390625" style="2" customWidth="1"/>
    <col min="16131" max="16131" width="26.75390625" style="2" customWidth="1"/>
    <col min="16132" max="16132" width="13.125" style="2" customWidth="1"/>
    <col min="16133" max="16133" width="12.25390625" style="2" customWidth="1"/>
    <col min="16134" max="16384" width="9.125" style="2" customWidth="1"/>
  </cols>
  <sheetData>
    <row r="1" spans="1:5" ht="12.75">
      <c r="A1" s="238" t="s">
        <v>1127</v>
      </c>
      <c r="B1" s="238"/>
      <c r="C1" s="238"/>
      <c r="D1" s="238"/>
      <c r="E1" s="238"/>
    </row>
    <row r="2" spans="1:5" ht="12.75">
      <c r="A2" s="223"/>
      <c r="B2" s="223"/>
      <c r="C2" s="238" t="s">
        <v>1145</v>
      </c>
      <c r="D2" s="238"/>
      <c r="E2" s="238"/>
    </row>
    <row r="3" spans="1:5" ht="12.75">
      <c r="A3" s="223"/>
      <c r="B3" s="223"/>
      <c r="C3" s="238" t="s">
        <v>1147</v>
      </c>
      <c r="D3" s="238"/>
      <c r="E3" s="238"/>
    </row>
    <row r="6" spans="1:8" ht="40.9" customHeight="1">
      <c r="A6" s="240" t="s">
        <v>1136</v>
      </c>
      <c r="B6" s="240"/>
      <c r="C6" s="240"/>
      <c r="D6" s="240"/>
      <c r="E6" s="240"/>
      <c r="F6" s="224"/>
      <c r="G6" s="224"/>
      <c r="H6" s="224"/>
    </row>
    <row r="7" spans="1:5" ht="14.45" customHeight="1">
      <c r="A7" s="239"/>
      <c r="B7" s="239"/>
      <c r="C7" s="239"/>
      <c r="D7" s="239"/>
      <c r="E7" s="239"/>
    </row>
    <row r="8" ht="12.75">
      <c r="E8" s="2" t="s">
        <v>641</v>
      </c>
    </row>
    <row r="9" spans="1:5" ht="33" customHeight="1">
      <c r="A9" s="273" t="s">
        <v>36</v>
      </c>
      <c r="B9" s="285" t="s">
        <v>1128</v>
      </c>
      <c r="C9" s="285"/>
      <c r="D9" s="286" t="s">
        <v>575</v>
      </c>
      <c r="E9" s="287" t="s">
        <v>576</v>
      </c>
    </row>
    <row r="10" spans="1:5" ht="49.5">
      <c r="A10" s="273"/>
      <c r="B10" s="47" t="s">
        <v>1129</v>
      </c>
      <c r="C10" s="47" t="s">
        <v>1130</v>
      </c>
      <c r="D10" s="286"/>
      <c r="E10" s="287"/>
    </row>
    <row r="11" spans="1:5" ht="12.75">
      <c r="A11" s="234">
        <v>1</v>
      </c>
      <c r="B11" s="234">
        <v>2</v>
      </c>
      <c r="C11" s="47" t="s">
        <v>118</v>
      </c>
      <c r="D11" s="112">
        <v>4</v>
      </c>
      <c r="E11" s="112">
        <v>5</v>
      </c>
    </row>
    <row r="12" spans="1:5" ht="50.45" customHeight="1">
      <c r="A12" s="225" t="s">
        <v>1131</v>
      </c>
      <c r="B12" s="19" t="s">
        <v>71</v>
      </c>
      <c r="C12" s="47"/>
      <c r="D12" s="38">
        <f>16308.5+D13</f>
        <v>36308.5</v>
      </c>
      <c r="E12" s="226">
        <f>E14+E15+E13</f>
        <v>28448</v>
      </c>
    </row>
    <row r="13" spans="1:5" ht="53.25" customHeight="1">
      <c r="A13" s="20" t="s">
        <v>527</v>
      </c>
      <c r="B13" s="19" t="s">
        <v>71</v>
      </c>
      <c r="C13" s="19" t="s">
        <v>1143</v>
      </c>
      <c r="D13" s="39">
        <v>20000</v>
      </c>
      <c r="E13" s="39">
        <v>20000</v>
      </c>
    </row>
    <row r="14" spans="1:5" ht="50.45" customHeight="1">
      <c r="A14" s="20" t="s">
        <v>47</v>
      </c>
      <c r="B14" s="19" t="s">
        <v>71</v>
      </c>
      <c r="C14" s="19" t="s">
        <v>1132</v>
      </c>
      <c r="D14" s="39">
        <v>-641720.3</v>
      </c>
      <c r="E14" s="39">
        <v>-651045.1</v>
      </c>
    </row>
    <row r="15" spans="1:5" ht="50.45" customHeight="1">
      <c r="A15" s="20" t="s">
        <v>53</v>
      </c>
      <c r="B15" s="19" t="s">
        <v>71</v>
      </c>
      <c r="C15" s="19" t="s">
        <v>1133</v>
      </c>
      <c r="D15" s="39">
        <v>657743.9</v>
      </c>
      <c r="E15" s="39">
        <v>659493.1</v>
      </c>
    </row>
    <row r="16" spans="1:5" ht="50.45" customHeight="1">
      <c r="A16" s="288" t="s">
        <v>54</v>
      </c>
      <c r="B16" s="288"/>
      <c r="C16" s="288"/>
      <c r="D16" s="38">
        <f>D12</f>
        <v>36308.5</v>
      </c>
      <c r="E16" s="38">
        <f>E12</f>
        <v>28448</v>
      </c>
    </row>
    <row r="18" spans="1:16133" s="24" customFormat="1" ht="12.75">
      <c r="A18" s="22"/>
      <c r="B18" s="22"/>
      <c r="C18" s="2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row>
    <row r="19" spans="1:16133" s="24" customFormat="1" ht="12.75">
      <c r="A19" s="1"/>
      <c r="B19" s="1"/>
      <c r="C19" s="1"/>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row>
  </sheetData>
  <mergeCells count="10">
    <mergeCell ref="A16:C16"/>
    <mergeCell ref="A1:E1"/>
    <mergeCell ref="C2:E2"/>
    <mergeCell ref="C3:E3"/>
    <mergeCell ref="A6:E6"/>
    <mergeCell ref="A7:E7"/>
    <mergeCell ref="A9:A10"/>
    <mergeCell ref="B9:C9"/>
    <mergeCell ref="D9:D10"/>
    <mergeCell ref="E9:E10"/>
  </mergeCells>
  <printOptions/>
  <pageMargins left="0.5905511811023623" right="0.1968503937007874" top="0.1968503937007874" bottom="0.1968503937007874" header="0.31496062992125984" footer="0.31496062992125984"/>
  <pageSetup fitToHeight="0"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workbookViewId="0" topLeftCell="A4">
      <selection activeCell="A5" sqref="A5:D5"/>
    </sheetView>
  </sheetViews>
  <sheetFormatPr defaultColWidth="9.125" defaultRowHeight="12.75"/>
  <cols>
    <col min="1" max="1" width="58.625" style="2" customWidth="1"/>
    <col min="2" max="2" width="32.25390625" style="2" customWidth="1"/>
    <col min="3" max="3" width="13.625" style="24" customWidth="1"/>
    <col min="4" max="4" width="13.875" style="2" customWidth="1"/>
    <col min="5" max="256" width="9.125" style="2" customWidth="1"/>
    <col min="257" max="257" width="58.625" style="2" customWidth="1"/>
    <col min="258" max="258" width="29.25390625" style="2" customWidth="1"/>
    <col min="259" max="259" width="13.625" style="2" customWidth="1"/>
    <col min="260" max="260" width="12.25390625" style="2" customWidth="1"/>
    <col min="261" max="512" width="9.125" style="2" customWidth="1"/>
    <col min="513" max="513" width="58.625" style="2" customWidth="1"/>
    <col min="514" max="514" width="29.25390625" style="2" customWidth="1"/>
    <col min="515" max="515" width="13.625" style="2" customWidth="1"/>
    <col min="516" max="516" width="12.25390625" style="2" customWidth="1"/>
    <col min="517" max="768" width="9.125" style="2" customWidth="1"/>
    <col min="769" max="769" width="58.625" style="2" customWidth="1"/>
    <col min="770" max="770" width="29.25390625" style="2" customWidth="1"/>
    <col min="771" max="771" width="13.625" style="2" customWidth="1"/>
    <col min="772" max="772" width="12.25390625" style="2" customWidth="1"/>
    <col min="773" max="1024" width="9.125" style="2" customWidth="1"/>
    <col min="1025" max="1025" width="58.625" style="2" customWidth="1"/>
    <col min="1026" max="1026" width="29.25390625" style="2" customWidth="1"/>
    <col min="1027" max="1027" width="13.625" style="2" customWidth="1"/>
    <col min="1028" max="1028" width="12.25390625" style="2" customWidth="1"/>
    <col min="1029" max="1280" width="9.125" style="2" customWidth="1"/>
    <col min="1281" max="1281" width="58.625" style="2" customWidth="1"/>
    <col min="1282" max="1282" width="29.25390625" style="2" customWidth="1"/>
    <col min="1283" max="1283" width="13.625" style="2" customWidth="1"/>
    <col min="1284" max="1284" width="12.25390625" style="2" customWidth="1"/>
    <col min="1285" max="1536" width="9.125" style="2" customWidth="1"/>
    <col min="1537" max="1537" width="58.625" style="2" customWidth="1"/>
    <col min="1538" max="1538" width="29.25390625" style="2" customWidth="1"/>
    <col min="1539" max="1539" width="13.625" style="2" customWidth="1"/>
    <col min="1540" max="1540" width="12.25390625" style="2" customWidth="1"/>
    <col min="1541" max="1792" width="9.125" style="2" customWidth="1"/>
    <col min="1793" max="1793" width="58.625" style="2" customWidth="1"/>
    <col min="1794" max="1794" width="29.25390625" style="2" customWidth="1"/>
    <col min="1795" max="1795" width="13.625" style="2" customWidth="1"/>
    <col min="1796" max="1796" width="12.25390625" style="2" customWidth="1"/>
    <col min="1797" max="2048" width="9.125" style="2" customWidth="1"/>
    <col min="2049" max="2049" width="58.625" style="2" customWidth="1"/>
    <col min="2050" max="2050" width="29.25390625" style="2" customWidth="1"/>
    <col min="2051" max="2051" width="13.625" style="2" customWidth="1"/>
    <col min="2052" max="2052" width="12.25390625" style="2" customWidth="1"/>
    <col min="2053" max="2304" width="9.125" style="2" customWidth="1"/>
    <col min="2305" max="2305" width="58.625" style="2" customWidth="1"/>
    <col min="2306" max="2306" width="29.25390625" style="2" customWidth="1"/>
    <col min="2307" max="2307" width="13.625" style="2" customWidth="1"/>
    <col min="2308" max="2308" width="12.25390625" style="2" customWidth="1"/>
    <col min="2309" max="2560" width="9.125" style="2" customWidth="1"/>
    <col min="2561" max="2561" width="58.625" style="2" customWidth="1"/>
    <col min="2562" max="2562" width="29.25390625" style="2" customWidth="1"/>
    <col min="2563" max="2563" width="13.625" style="2" customWidth="1"/>
    <col min="2564" max="2564" width="12.25390625" style="2" customWidth="1"/>
    <col min="2565" max="2816" width="9.125" style="2" customWidth="1"/>
    <col min="2817" max="2817" width="58.625" style="2" customWidth="1"/>
    <col min="2818" max="2818" width="29.25390625" style="2" customWidth="1"/>
    <col min="2819" max="2819" width="13.625" style="2" customWidth="1"/>
    <col min="2820" max="2820" width="12.25390625" style="2" customWidth="1"/>
    <col min="2821" max="3072" width="9.125" style="2" customWidth="1"/>
    <col min="3073" max="3073" width="58.625" style="2" customWidth="1"/>
    <col min="3074" max="3074" width="29.25390625" style="2" customWidth="1"/>
    <col min="3075" max="3075" width="13.625" style="2" customWidth="1"/>
    <col min="3076" max="3076" width="12.25390625" style="2" customWidth="1"/>
    <col min="3077" max="3328" width="9.125" style="2" customWidth="1"/>
    <col min="3329" max="3329" width="58.625" style="2" customWidth="1"/>
    <col min="3330" max="3330" width="29.25390625" style="2" customWidth="1"/>
    <col min="3331" max="3331" width="13.625" style="2" customWidth="1"/>
    <col min="3332" max="3332" width="12.25390625" style="2" customWidth="1"/>
    <col min="3333" max="3584" width="9.125" style="2" customWidth="1"/>
    <col min="3585" max="3585" width="58.625" style="2" customWidth="1"/>
    <col min="3586" max="3586" width="29.25390625" style="2" customWidth="1"/>
    <col min="3587" max="3587" width="13.625" style="2" customWidth="1"/>
    <col min="3588" max="3588" width="12.25390625" style="2" customWidth="1"/>
    <col min="3589" max="3840" width="9.125" style="2" customWidth="1"/>
    <col min="3841" max="3841" width="58.625" style="2" customWidth="1"/>
    <col min="3842" max="3842" width="29.25390625" style="2" customWidth="1"/>
    <col min="3843" max="3843" width="13.625" style="2" customWidth="1"/>
    <col min="3844" max="3844" width="12.25390625" style="2" customWidth="1"/>
    <col min="3845" max="4096" width="9.125" style="2" customWidth="1"/>
    <col min="4097" max="4097" width="58.625" style="2" customWidth="1"/>
    <col min="4098" max="4098" width="29.25390625" style="2" customWidth="1"/>
    <col min="4099" max="4099" width="13.625" style="2" customWidth="1"/>
    <col min="4100" max="4100" width="12.25390625" style="2" customWidth="1"/>
    <col min="4101" max="4352" width="9.125" style="2" customWidth="1"/>
    <col min="4353" max="4353" width="58.625" style="2" customWidth="1"/>
    <col min="4354" max="4354" width="29.25390625" style="2" customWidth="1"/>
    <col min="4355" max="4355" width="13.625" style="2" customWidth="1"/>
    <col min="4356" max="4356" width="12.25390625" style="2" customWidth="1"/>
    <col min="4357" max="4608" width="9.125" style="2" customWidth="1"/>
    <col min="4609" max="4609" width="58.625" style="2" customWidth="1"/>
    <col min="4610" max="4610" width="29.25390625" style="2" customWidth="1"/>
    <col min="4611" max="4611" width="13.625" style="2" customWidth="1"/>
    <col min="4612" max="4612" width="12.25390625" style="2" customWidth="1"/>
    <col min="4613" max="4864" width="9.125" style="2" customWidth="1"/>
    <col min="4865" max="4865" width="58.625" style="2" customWidth="1"/>
    <col min="4866" max="4866" width="29.25390625" style="2" customWidth="1"/>
    <col min="4867" max="4867" width="13.625" style="2" customWidth="1"/>
    <col min="4868" max="4868" width="12.25390625" style="2" customWidth="1"/>
    <col min="4869" max="5120" width="9.125" style="2" customWidth="1"/>
    <col min="5121" max="5121" width="58.625" style="2" customWidth="1"/>
    <col min="5122" max="5122" width="29.25390625" style="2" customWidth="1"/>
    <col min="5123" max="5123" width="13.625" style="2" customWidth="1"/>
    <col min="5124" max="5124" width="12.25390625" style="2" customWidth="1"/>
    <col min="5125" max="5376" width="9.125" style="2" customWidth="1"/>
    <col min="5377" max="5377" width="58.625" style="2" customWidth="1"/>
    <col min="5378" max="5378" width="29.25390625" style="2" customWidth="1"/>
    <col min="5379" max="5379" width="13.625" style="2" customWidth="1"/>
    <col min="5380" max="5380" width="12.25390625" style="2" customWidth="1"/>
    <col min="5381" max="5632" width="9.125" style="2" customWidth="1"/>
    <col min="5633" max="5633" width="58.625" style="2" customWidth="1"/>
    <col min="5634" max="5634" width="29.25390625" style="2" customWidth="1"/>
    <col min="5635" max="5635" width="13.625" style="2" customWidth="1"/>
    <col min="5636" max="5636" width="12.25390625" style="2" customWidth="1"/>
    <col min="5637" max="5888" width="9.125" style="2" customWidth="1"/>
    <col min="5889" max="5889" width="58.625" style="2" customWidth="1"/>
    <col min="5890" max="5890" width="29.25390625" style="2" customWidth="1"/>
    <col min="5891" max="5891" width="13.625" style="2" customWidth="1"/>
    <col min="5892" max="5892" width="12.25390625" style="2" customWidth="1"/>
    <col min="5893" max="6144" width="9.125" style="2" customWidth="1"/>
    <col min="6145" max="6145" width="58.625" style="2" customWidth="1"/>
    <col min="6146" max="6146" width="29.25390625" style="2" customWidth="1"/>
    <col min="6147" max="6147" width="13.625" style="2" customWidth="1"/>
    <col min="6148" max="6148" width="12.25390625" style="2" customWidth="1"/>
    <col min="6149" max="6400" width="9.125" style="2" customWidth="1"/>
    <col min="6401" max="6401" width="58.625" style="2" customWidth="1"/>
    <col min="6402" max="6402" width="29.25390625" style="2" customWidth="1"/>
    <col min="6403" max="6403" width="13.625" style="2" customWidth="1"/>
    <col min="6404" max="6404" width="12.25390625" style="2" customWidth="1"/>
    <col min="6405" max="6656" width="9.125" style="2" customWidth="1"/>
    <col min="6657" max="6657" width="58.625" style="2" customWidth="1"/>
    <col min="6658" max="6658" width="29.25390625" style="2" customWidth="1"/>
    <col min="6659" max="6659" width="13.625" style="2" customWidth="1"/>
    <col min="6660" max="6660" width="12.25390625" style="2" customWidth="1"/>
    <col min="6661" max="6912" width="9.125" style="2" customWidth="1"/>
    <col min="6913" max="6913" width="58.625" style="2" customWidth="1"/>
    <col min="6914" max="6914" width="29.25390625" style="2" customWidth="1"/>
    <col min="6915" max="6915" width="13.625" style="2" customWidth="1"/>
    <col min="6916" max="6916" width="12.25390625" style="2" customWidth="1"/>
    <col min="6917" max="7168" width="9.125" style="2" customWidth="1"/>
    <col min="7169" max="7169" width="58.625" style="2" customWidth="1"/>
    <col min="7170" max="7170" width="29.25390625" style="2" customWidth="1"/>
    <col min="7171" max="7171" width="13.625" style="2" customWidth="1"/>
    <col min="7172" max="7172" width="12.25390625" style="2" customWidth="1"/>
    <col min="7173" max="7424" width="9.125" style="2" customWidth="1"/>
    <col min="7425" max="7425" width="58.625" style="2" customWidth="1"/>
    <col min="7426" max="7426" width="29.25390625" style="2" customWidth="1"/>
    <col min="7427" max="7427" width="13.625" style="2" customWidth="1"/>
    <col min="7428" max="7428" width="12.25390625" style="2" customWidth="1"/>
    <col min="7429" max="7680" width="9.125" style="2" customWidth="1"/>
    <col min="7681" max="7681" width="58.625" style="2" customWidth="1"/>
    <col min="7682" max="7682" width="29.25390625" style="2" customWidth="1"/>
    <col min="7683" max="7683" width="13.625" style="2" customWidth="1"/>
    <col min="7684" max="7684" width="12.25390625" style="2" customWidth="1"/>
    <col min="7685" max="7936" width="9.125" style="2" customWidth="1"/>
    <col min="7937" max="7937" width="58.625" style="2" customWidth="1"/>
    <col min="7938" max="7938" width="29.25390625" style="2" customWidth="1"/>
    <col min="7939" max="7939" width="13.625" style="2" customWidth="1"/>
    <col min="7940" max="7940" width="12.25390625" style="2" customWidth="1"/>
    <col min="7941" max="8192" width="9.125" style="2" customWidth="1"/>
    <col min="8193" max="8193" width="58.625" style="2" customWidth="1"/>
    <col min="8194" max="8194" width="29.25390625" style="2" customWidth="1"/>
    <col min="8195" max="8195" width="13.625" style="2" customWidth="1"/>
    <col min="8196" max="8196" width="12.25390625" style="2" customWidth="1"/>
    <col min="8197" max="8448" width="9.125" style="2" customWidth="1"/>
    <col min="8449" max="8449" width="58.625" style="2" customWidth="1"/>
    <col min="8450" max="8450" width="29.25390625" style="2" customWidth="1"/>
    <col min="8451" max="8451" width="13.625" style="2" customWidth="1"/>
    <col min="8452" max="8452" width="12.25390625" style="2" customWidth="1"/>
    <col min="8453" max="8704" width="9.125" style="2" customWidth="1"/>
    <col min="8705" max="8705" width="58.625" style="2" customWidth="1"/>
    <col min="8706" max="8706" width="29.25390625" style="2" customWidth="1"/>
    <col min="8707" max="8707" width="13.625" style="2" customWidth="1"/>
    <col min="8708" max="8708" width="12.25390625" style="2" customWidth="1"/>
    <col min="8709" max="8960" width="9.125" style="2" customWidth="1"/>
    <col min="8961" max="8961" width="58.625" style="2" customWidth="1"/>
    <col min="8962" max="8962" width="29.25390625" style="2" customWidth="1"/>
    <col min="8963" max="8963" width="13.625" style="2" customWidth="1"/>
    <col min="8964" max="8964" width="12.25390625" style="2" customWidth="1"/>
    <col min="8965" max="9216" width="9.125" style="2" customWidth="1"/>
    <col min="9217" max="9217" width="58.625" style="2" customWidth="1"/>
    <col min="9218" max="9218" width="29.25390625" style="2" customWidth="1"/>
    <col min="9219" max="9219" width="13.625" style="2" customWidth="1"/>
    <col min="9220" max="9220" width="12.25390625" style="2" customWidth="1"/>
    <col min="9221" max="9472" width="9.125" style="2" customWidth="1"/>
    <col min="9473" max="9473" width="58.625" style="2" customWidth="1"/>
    <col min="9474" max="9474" width="29.25390625" style="2" customWidth="1"/>
    <col min="9475" max="9475" width="13.625" style="2" customWidth="1"/>
    <col min="9476" max="9476" width="12.25390625" style="2" customWidth="1"/>
    <col min="9477" max="9728" width="9.125" style="2" customWidth="1"/>
    <col min="9729" max="9729" width="58.625" style="2" customWidth="1"/>
    <col min="9730" max="9730" width="29.25390625" style="2" customWidth="1"/>
    <col min="9731" max="9731" width="13.625" style="2" customWidth="1"/>
    <col min="9732" max="9732" width="12.25390625" style="2" customWidth="1"/>
    <col min="9733" max="9984" width="9.125" style="2" customWidth="1"/>
    <col min="9985" max="9985" width="58.625" style="2" customWidth="1"/>
    <col min="9986" max="9986" width="29.25390625" style="2" customWidth="1"/>
    <col min="9987" max="9987" width="13.625" style="2" customWidth="1"/>
    <col min="9988" max="9988" width="12.25390625" style="2" customWidth="1"/>
    <col min="9989" max="10240" width="9.125" style="2" customWidth="1"/>
    <col min="10241" max="10241" width="58.625" style="2" customWidth="1"/>
    <col min="10242" max="10242" width="29.25390625" style="2" customWidth="1"/>
    <col min="10243" max="10243" width="13.625" style="2" customWidth="1"/>
    <col min="10244" max="10244" width="12.25390625" style="2" customWidth="1"/>
    <col min="10245" max="10496" width="9.125" style="2" customWidth="1"/>
    <col min="10497" max="10497" width="58.625" style="2" customWidth="1"/>
    <col min="10498" max="10498" width="29.25390625" style="2" customWidth="1"/>
    <col min="10499" max="10499" width="13.625" style="2" customWidth="1"/>
    <col min="10500" max="10500" width="12.25390625" style="2" customWidth="1"/>
    <col min="10501" max="10752" width="9.125" style="2" customWidth="1"/>
    <col min="10753" max="10753" width="58.625" style="2" customWidth="1"/>
    <col min="10754" max="10754" width="29.25390625" style="2" customWidth="1"/>
    <col min="10755" max="10755" width="13.625" style="2" customWidth="1"/>
    <col min="10756" max="10756" width="12.25390625" style="2" customWidth="1"/>
    <col min="10757" max="11008" width="9.125" style="2" customWidth="1"/>
    <col min="11009" max="11009" width="58.625" style="2" customWidth="1"/>
    <col min="11010" max="11010" width="29.25390625" style="2" customWidth="1"/>
    <col min="11011" max="11011" width="13.625" style="2" customWidth="1"/>
    <col min="11012" max="11012" width="12.25390625" style="2" customWidth="1"/>
    <col min="11013" max="11264" width="9.125" style="2" customWidth="1"/>
    <col min="11265" max="11265" width="58.625" style="2" customWidth="1"/>
    <col min="11266" max="11266" width="29.25390625" style="2" customWidth="1"/>
    <col min="11267" max="11267" width="13.625" style="2" customWidth="1"/>
    <col min="11268" max="11268" width="12.25390625" style="2" customWidth="1"/>
    <col min="11269" max="11520" width="9.125" style="2" customWidth="1"/>
    <col min="11521" max="11521" width="58.625" style="2" customWidth="1"/>
    <col min="11522" max="11522" width="29.25390625" style="2" customWidth="1"/>
    <col min="11523" max="11523" width="13.625" style="2" customWidth="1"/>
    <col min="11524" max="11524" width="12.25390625" style="2" customWidth="1"/>
    <col min="11525" max="11776" width="9.125" style="2" customWidth="1"/>
    <col min="11777" max="11777" width="58.625" style="2" customWidth="1"/>
    <col min="11778" max="11778" width="29.25390625" style="2" customWidth="1"/>
    <col min="11779" max="11779" width="13.625" style="2" customWidth="1"/>
    <col min="11780" max="11780" width="12.25390625" style="2" customWidth="1"/>
    <col min="11781" max="12032" width="9.125" style="2" customWidth="1"/>
    <col min="12033" max="12033" width="58.625" style="2" customWidth="1"/>
    <col min="12034" max="12034" width="29.25390625" style="2" customWidth="1"/>
    <col min="12035" max="12035" width="13.625" style="2" customWidth="1"/>
    <col min="12036" max="12036" width="12.25390625" style="2" customWidth="1"/>
    <col min="12037" max="12288" width="9.125" style="2" customWidth="1"/>
    <col min="12289" max="12289" width="58.625" style="2" customWidth="1"/>
    <col min="12290" max="12290" width="29.25390625" style="2" customWidth="1"/>
    <col min="12291" max="12291" width="13.625" style="2" customWidth="1"/>
    <col min="12292" max="12292" width="12.25390625" style="2" customWidth="1"/>
    <col min="12293" max="12544" width="9.125" style="2" customWidth="1"/>
    <col min="12545" max="12545" width="58.625" style="2" customWidth="1"/>
    <col min="12546" max="12546" width="29.25390625" style="2" customWidth="1"/>
    <col min="12547" max="12547" width="13.625" style="2" customWidth="1"/>
    <col min="12548" max="12548" width="12.25390625" style="2" customWidth="1"/>
    <col min="12549" max="12800" width="9.125" style="2" customWidth="1"/>
    <col min="12801" max="12801" width="58.625" style="2" customWidth="1"/>
    <col min="12802" max="12802" width="29.25390625" style="2" customWidth="1"/>
    <col min="12803" max="12803" width="13.625" style="2" customWidth="1"/>
    <col min="12804" max="12804" width="12.25390625" style="2" customWidth="1"/>
    <col min="12805" max="13056" width="9.125" style="2" customWidth="1"/>
    <col min="13057" max="13057" width="58.625" style="2" customWidth="1"/>
    <col min="13058" max="13058" width="29.25390625" style="2" customWidth="1"/>
    <col min="13059" max="13059" width="13.625" style="2" customWidth="1"/>
    <col min="13060" max="13060" width="12.25390625" style="2" customWidth="1"/>
    <col min="13061" max="13312" width="9.125" style="2" customWidth="1"/>
    <col min="13313" max="13313" width="58.625" style="2" customWidth="1"/>
    <col min="13314" max="13314" width="29.25390625" style="2" customWidth="1"/>
    <col min="13315" max="13315" width="13.625" style="2" customWidth="1"/>
    <col min="13316" max="13316" width="12.25390625" style="2" customWidth="1"/>
    <col min="13317" max="13568" width="9.125" style="2" customWidth="1"/>
    <col min="13569" max="13569" width="58.625" style="2" customWidth="1"/>
    <col min="13570" max="13570" width="29.25390625" style="2" customWidth="1"/>
    <col min="13571" max="13571" width="13.625" style="2" customWidth="1"/>
    <col min="13572" max="13572" width="12.25390625" style="2" customWidth="1"/>
    <col min="13573" max="13824" width="9.125" style="2" customWidth="1"/>
    <col min="13825" max="13825" width="58.625" style="2" customWidth="1"/>
    <col min="13826" max="13826" width="29.25390625" style="2" customWidth="1"/>
    <col min="13827" max="13827" width="13.625" style="2" customWidth="1"/>
    <col min="13828" max="13828" width="12.25390625" style="2" customWidth="1"/>
    <col min="13829" max="14080" width="9.125" style="2" customWidth="1"/>
    <col min="14081" max="14081" width="58.625" style="2" customWidth="1"/>
    <col min="14082" max="14082" width="29.25390625" style="2" customWidth="1"/>
    <col min="14083" max="14083" width="13.625" style="2" customWidth="1"/>
    <col min="14084" max="14084" width="12.25390625" style="2" customWidth="1"/>
    <col min="14085" max="14336" width="9.125" style="2" customWidth="1"/>
    <col min="14337" max="14337" width="58.625" style="2" customWidth="1"/>
    <col min="14338" max="14338" width="29.25390625" style="2" customWidth="1"/>
    <col min="14339" max="14339" width="13.625" style="2" customWidth="1"/>
    <col min="14340" max="14340" width="12.25390625" style="2" customWidth="1"/>
    <col min="14341" max="14592" width="9.125" style="2" customWidth="1"/>
    <col min="14593" max="14593" width="58.625" style="2" customWidth="1"/>
    <col min="14594" max="14594" width="29.25390625" style="2" customWidth="1"/>
    <col min="14595" max="14595" width="13.625" style="2" customWidth="1"/>
    <col min="14596" max="14596" width="12.25390625" style="2" customWidth="1"/>
    <col min="14597" max="14848" width="9.125" style="2" customWidth="1"/>
    <col min="14849" max="14849" width="58.625" style="2" customWidth="1"/>
    <col min="14850" max="14850" width="29.25390625" style="2" customWidth="1"/>
    <col min="14851" max="14851" width="13.625" style="2" customWidth="1"/>
    <col min="14852" max="14852" width="12.25390625" style="2" customWidth="1"/>
    <col min="14853" max="15104" width="9.125" style="2" customWidth="1"/>
    <col min="15105" max="15105" width="58.625" style="2" customWidth="1"/>
    <col min="15106" max="15106" width="29.25390625" style="2" customWidth="1"/>
    <col min="15107" max="15107" width="13.625" style="2" customWidth="1"/>
    <col min="15108" max="15108" width="12.25390625" style="2" customWidth="1"/>
    <col min="15109" max="15360" width="9.125" style="2" customWidth="1"/>
    <col min="15361" max="15361" width="58.625" style="2" customWidth="1"/>
    <col min="15362" max="15362" width="29.25390625" style="2" customWidth="1"/>
    <col min="15363" max="15363" width="13.625" style="2" customWidth="1"/>
    <col min="15364" max="15364" width="12.25390625" style="2" customWidth="1"/>
    <col min="15365" max="15616" width="9.125" style="2" customWidth="1"/>
    <col min="15617" max="15617" width="58.625" style="2" customWidth="1"/>
    <col min="15618" max="15618" width="29.25390625" style="2" customWidth="1"/>
    <col min="15619" max="15619" width="13.625" style="2" customWidth="1"/>
    <col min="15620" max="15620" width="12.25390625" style="2" customWidth="1"/>
    <col min="15621" max="15872" width="9.125" style="2" customWidth="1"/>
    <col min="15873" max="15873" width="58.625" style="2" customWidth="1"/>
    <col min="15874" max="15874" width="29.25390625" style="2" customWidth="1"/>
    <col min="15875" max="15875" width="13.625" style="2" customWidth="1"/>
    <col min="15876" max="15876" width="12.25390625" style="2" customWidth="1"/>
    <col min="15877" max="16128" width="9.125" style="2" customWidth="1"/>
    <col min="16129" max="16129" width="58.625" style="2" customWidth="1"/>
    <col min="16130" max="16130" width="29.25390625" style="2" customWidth="1"/>
    <col min="16131" max="16131" width="13.625" style="2" customWidth="1"/>
    <col min="16132" max="16132" width="12.25390625" style="2" customWidth="1"/>
    <col min="16133" max="16384" width="9.125" style="2" customWidth="1"/>
  </cols>
  <sheetData>
    <row r="1" spans="1:4" ht="12.75">
      <c r="A1" s="238" t="s">
        <v>1134</v>
      </c>
      <c r="B1" s="238"/>
      <c r="C1" s="238"/>
      <c r="D1" s="238"/>
    </row>
    <row r="2" spans="1:4" ht="12.75">
      <c r="A2" s="223"/>
      <c r="B2" s="238" t="s">
        <v>1145</v>
      </c>
      <c r="C2" s="238"/>
      <c r="D2" s="238"/>
    </row>
    <row r="3" spans="1:4" ht="12.75">
      <c r="A3" s="223"/>
      <c r="B3" s="238" t="s">
        <v>1147</v>
      </c>
      <c r="C3" s="238"/>
      <c r="D3" s="238"/>
    </row>
    <row r="5" spans="1:6" ht="71.45" customHeight="1">
      <c r="A5" s="247" t="s">
        <v>1137</v>
      </c>
      <c r="B5" s="247"/>
      <c r="C5" s="247"/>
      <c r="D5" s="247"/>
      <c r="E5" s="227"/>
      <c r="F5" s="227"/>
    </row>
    <row r="6" spans="1:4" ht="14.45" customHeight="1">
      <c r="A6" s="239"/>
      <c r="B6" s="239"/>
      <c r="C6" s="239"/>
      <c r="D6" s="239"/>
    </row>
    <row r="7" ht="12.75">
      <c r="D7" s="2" t="s">
        <v>641</v>
      </c>
    </row>
    <row r="8" spans="1:4" ht="33" customHeight="1">
      <c r="A8" s="241" t="s">
        <v>36</v>
      </c>
      <c r="B8" s="248" t="s">
        <v>1128</v>
      </c>
      <c r="C8" s="243" t="s">
        <v>575</v>
      </c>
      <c r="D8" s="245" t="s">
        <v>576</v>
      </c>
    </row>
    <row r="9" spans="1:4" ht="12.75">
      <c r="A9" s="242"/>
      <c r="B9" s="249"/>
      <c r="C9" s="244"/>
      <c r="D9" s="246"/>
    </row>
    <row r="10" spans="1:4" ht="12.75">
      <c r="A10" s="146">
        <v>1</v>
      </c>
      <c r="B10" s="36" t="s">
        <v>117</v>
      </c>
      <c r="C10" s="112">
        <v>3</v>
      </c>
      <c r="D10" s="112">
        <v>4</v>
      </c>
    </row>
    <row r="11" spans="1:4" ht="33">
      <c r="A11" s="18" t="s">
        <v>523</v>
      </c>
      <c r="B11" s="17" t="s">
        <v>522</v>
      </c>
      <c r="C11" s="226">
        <f>C12</f>
        <v>20000</v>
      </c>
      <c r="D11" s="226">
        <f>D12</f>
        <v>20000</v>
      </c>
    </row>
    <row r="12" spans="1:4" ht="49.5">
      <c r="A12" s="20" t="s">
        <v>525</v>
      </c>
      <c r="B12" s="19" t="s">
        <v>524</v>
      </c>
      <c r="C12" s="93">
        <f>C13</f>
        <v>20000</v>
      </c>
      <c r="D12" s="93">
        <f>D13</f>
        <v>20000</v>
      </c>
    </row>
    <row r="13" spans="1:4" ht="49.5">
      <c r="A13" s="20" t="s">
        <v>527</v>
      </c>
      <c r="B13" s="19" t="s">
        <v>526</v>
      </c>
      <c r="C13" s="93">
        <v>20000</v>
      </c>
      <c r="D13" s="93">
        <v>20000</v>
      </c>
    </row>
    <row r="14" spans="1:4" ht="33.75" customHeight="1">
      <c r="A14" s="18" t="s">
        <v>1135</v>
      </c>
      <c r="B14" s="17" t="s">
        <v>41</v>
      </c>
      <c r="C14" s="38">
        <v>16308.5</v>
      </c>
      <c r="D14" s="38">
        <f>D15+D18</f>
        <v>8448</v>
      </c>
    </row>
    <row r="15" spans="1:4" ht="24" customHeight="1">
      <c r="A15" s="20" t="s">
        <v>43</v>
      </c>
      <c r="B15" s="19" t="s">
        <v>42</v>
      </c>
      <c r="C15" s="39">
        <f aca="true" t="shared" si="0" ref="C15:D16">C16</f>
        <v>-641720.3</v>
      </c>
      <c r="D15" s="39">
        <f t="shared" si="0"/>
        <v>-651045.1</v>
      </c>
    </row>
    <row r="16" spans="1:4" ht="24" customHeight="1">
      <c r="A16" s="20" t="s">
        <v>45</v>
      </c>
      <c r="B16" s="19" t="s">
        <v>44</v>
      </c>
      <c r="C16" s="39">
        <f t="shared" si="0"/>
        <v>-641720.3</v>
      </c>
      <c r="D16" s="39">
        <f t="shared" si="0"/>
        <v>-651045.1</v>
      </c>
    </row>
    <row r="17" spans="1:4" ht="36" customHeight="1">
      <c r="A17" s="20" t="s">
        <v>47</v>
      </c>
      <c r="B17" s="19" t="s">
        <v>46</v>
      </c>
      <c r="C17" s="95">
        <f>-621528.8-20000-191.5</f>
        <v>-641720.3</v>
      </c>
      <c r="D17" s="95">
        <v>-651045.1</v>
      </c>
    </row>
    <row r="18" spans="1:4" ht="24" customHeight="1">
      <c r="A18" s="20" t="s">
        <v>49</v>
      </c>
      <c r="B18" s="19" t="s">
        <v>48</v>
      </c>
      <c r="C18" s="39">
        <f aca="true" t="shared" si="1" ref="C18:D19">C19</f>
        <v>657743.9</v>
      </c>
      <c r="D18" s="39">
        <f t="shared" si="1"/>
        <v>659493.1</v>
      </c>
    </row>
    <row r="19" spans="1:4" ht="24" customHeight="1">
      <c r="A19" s="20" t="s">
        <v>51</v>
      </c>
      <c r="B19" s="19" t="s">
        <v>50</v>
      </c>
      <c r="C19" s="39">
        <f t="shared" si="1"/>
        <v>657743.9</v>
      </c>
      <c r="D19" s="39">
        <f t="shared" si="1"/>
        <v>659493.1</v>
      </c>
    </row>
    <row r="20" spans="1:4" ht="36" customHeight="1">
      <c r="A20" s="20" t="s">
        <v>53</v>
      </c>
      <c r="B20" s="19" t="s">
        <v>52</v>
      </c>
      <c r="C20" s="39">
        <v>657743.9</v>
      </c>
      <c r="D20" s="39">
        <v>659493.1</v>
      </c>
    </row>
    <row r="21" spans="1:4" ht="25.5" customHeight="1">
      <c r="A21" s="237" t="s">
        <v>54</v>
      </c>
      <c r="B21" s="237"/>
      <c r="C21" s="38">
        <f>C14+C11</f>
        <v>36308.5</v>
      </c>
      <c r="D21" s="38">
        <f>D14+D11</f>
        <v>28448</v>
      </c>
    </row>
    <row r="23" spans="1:2" ht="12.75">
      <c r="A23" s="22"/>
      <c r="B23" s="22"/>
    </row>
    <row r="24" spans="1:2" ht="12.75">
      <c r="A24" s="1"/>
      <c r="B24" s="1"/>
    </row>
  </sheetData>
  <mergeCells count="10">
    <mergeCell ref="A21:B21"/>
    <mergeCell ref="A1:D1"/>
    <mergeCell ref="B2:D2"/>
    <mergeCell ref="B3:D3"/>
    <mergeCell ref="A5:D5"/>
    <mergeCell ref="A6:D6"/>
    <mergeCell ref="A8:A9"/>
    <mergeCell ref="B8:B9"/>
    <mergeCell ref="C8:C9"/>
    <mergeCell ref="D8:D9"/>
  </mergeCells>
  <printOptions/>
  <pageMargins left="0.5905511811023623" right="0.1968503937007874" top="0.1968503937007874" bottom="0.1968503937007874" header="0.31496062992125984" footer="0.31496062992125984"/>
  <pageSetup fitToHeight="0"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D153"/>
  <sheetViews>
    <sheetView zoomScale="80" zoomScaleNormal="80" workbookViewId="0" topLeftCell="A1">
      <selection activeCell="G16" sqref="G16"/>
    </sheetView>
  </sheetViews>
  <sheetFormatPr defaultColWidth="9.125" defaultRowHeight="12.75"/>
  <cols>
    <col min="1" max="1" width="30.75390625" style="157" customWidth="1"/>
    <col min="2" max="2" width="96.125" style="207" customWidth="1"/>
    <col min="3" max="3" width="14.875" style="158" customWidth="1"/>
    <col min="4" max="4" width="15.75390625" style="158" customWidth="1"/>
    <col min="5" max="5" width="9.00390625" style="158" bestFit="1" customWidth="1"/>
    <col min="6" max="17" width="9.125" style="158" customWidth="1"/>
    <col min="18" max="18" width="3.125" style="158" customWidth="1"/>
    <col min="19" max="16384" width="9.125" style="158" customWidth="1"/>
  </cols>
  <sheetData>
    <row r="1" spans="2:4" ht="12.75">
      <c r="B1" s="250" t="s">
        <v>1138</v>
      </c>
      <c r="C1" s="250"/>
      <c r="D1" s="250"/>
    </row>
    <row r="2" spans="2:4" ht="12.75">
      <c r="B2" s="250" t="s">
        <v>1148</v>
      </c>
      <c r="C2" s="250"/>
      <c r="D2" s="250"/>
    </row>
    <row r="3" spans="2:4" ht="12.75">
      <c r="B3" s="250" t="s">
        <v>1147</v>
      </c>
      <c r="C3" s="250"/>
      <c r="D3" s="250"/>
    </row>
    <row r="5" spans="1:4" ht="67.5" customHeight="1">
      <c r="A5" s="251" t="s">
        <v>805</v>
      </c>
      <c r="B5" s="251"/>
      <c r="C5" s="251"/>
      <c r="D5" s="251"/>
    </row>
    <row r="6" spans="1:4" ht="12.75">
      <c r="A6" s="158"/>
      <c r="B6" s="159"/>
      <c r="D6" s="160" t="s">
        <v>641</v>
      </c>
    </row>
    <row r="7" spans="1:4" s="164" customFormat="1" ht="49.5">
      <c r="A7" s="161" t="s">
        <v>806</v>
      </c>
      <c r="B7" s="162" t="s">
        <v>645</v>
      </c>
      <c r="C7" s="163" t="s">
        <v>807</v>
      </c>
      <c r="D7" s="162" t="s">
        <v>576</v>
      </c>
    </row>
    <row r="8" spans="1:4" ht="12.75">
      <c r="A8" s="165" t="s">
        <v>808</v>
      </c>
      <c r="B8" s="166" t="s">
        <v>809</v>
      </c>
      <c r="C8" s="167">
        <f>C9+C20+C28+C36+C41+C55+C68+C77+C61+C14</f>
        <v>309111.20000000007</v>
      </c>
      <c r="D8" s="167">
        <f>D9+D20+D28+D36+D41+D55+D68+D77+D61+D14</f>
        <v>314179.29999999993</v>
      </c>
    </row>
    <row r="9" spans="1:4" ht="12.75">
      <c r="A9" s="165" t="s">
        <v>810</v>
      </c>
      <c r="B9" s="166" t="s">
        <v>811</v>
      </c>
      <c r="C9" s="167">
        <f>C10</f>
        <v>142082.3</v>
      </c>
      <c r="D9" s="167">
        <f>D10</f>
        <v>138141.3</v>
      </c>
    </row>
    <row r="10" spans="1:4" ht="12.75">
      <c r="A10" s="165" t="s">
        <v>812</v>
      </c>
      <c r="B10" s="166" t="s">
        <v>813</v>
      </c>
      <c r="C10" s="167">
        <f>C11+C12+C13</f>
        <v>142082.3</v>
      </c>
      <c r="D10" s="167">
        <f>D11+D12+D13</f>
        <v>138141.3</v>
      </c>
    </row>
    <row r="11" spans="1:4" ht="66">
      <c r="A11" s="168" t="s">
        <v>814</v>
      </c>
      <c r="B11" s="169" t="s">
        <v>648</v>
      </c>
      <c r="C11" s="170">
        <v>141067.9</v>
      </c>
      <c r="D11" s="170">
        <v>136831.2</v>
      </c>
    </row>
    <row r="12" spans="1:4" ht="82.5">
      <c r="A12" s="168" t="s">
        <v>815</v>
      </c>
      <c r="B12" s="169" t="s">
        <v>654</v>
      </c>
      <c r="C12" s="170">
        <v>400.6</v>
      </c>
      <c r="D12" s="170">
        <v>584.8</v>
      </c>
    </row>
    <row r="13" spans="1:4" ht="33">
      <c r="A13" s="168" t="s">
        <v>816</v>
      </c>
      <c r="B13" s="171" t="s">
        <v>658</v>
      </c>
      <c r="C13" s="170">
        <v>613.8</v>
      </c>
      <c r="D13" s="170">
        <v>725.3</v>
      </c>
    </row>
    <row r="14" spans="1:4" ht="33">
      <c r="A14" s="165" t="s">
        <v>817</v>
      </c>
      <c r="B14" s="172" t="s">
        <v>818</v>
      </c>
      <c r="C14" s="167">
        <f>C15</f>
        <v>2980</v>
      </c>
      <c r="D14" s="167">
        <f>D15</f>
        <v>2979.1</v>
      </c>
    </row>
    <row r="15" spans="1:4" ht="33">
      <c r="A15" s="165" t="s">
        <v>819</v>
      </c>
      <c r="B15" s="172" t="s">
        <v>820</v>
      </c>
      <c r="C15" s="167">
        <f>C16+C17+C18+C19</f>
        <v>2980</v>
      </c>
      <c r="D15" s="167">
        <f>D16+D17+D18+D19</f>
        <v>2979.1</v>
      </c>
    </row>
    <row r="16" spans="1:4" ht="49.5">
      <c r="A16" s="168" t="s">
        <v>821</v>
      </c>
      <c r="B16" s="169" t="s">
        <v>662</v>
      </c>
      <c r="C16" s="170">
        <v>900</v>
      </c>
      <c r="D16" s="170">
        <v>1018.4</v>
      </c>
    </row>
    <row r="17" spans="1:4" ht="66">
      <c r="A17" s="168" t="s">
        <v>822</v>
      </c>
      <c r="B17" s="169" t="s">
        <v>664</v>
      </c>
      <c r="C17" s="170">
        <v>14.5</v>
      </c>
      <c r="D17" s="170">
        <v>15.5</v>
      </c>
    </row>
    <row r="18" spans="1:4" ht="49.5">
      <c r="A18" s="168" t="s">
        <v>823</v>
      </c>
      <c r="B18" s="169" t="s">
        <v>666</v>
      </c>
      <c r="C18" s="170">
        <v>2065.5</v>
      </c>
      <c r="D18" s="170">
        <v>2096</v>
      </c>
    </row>
    <row r="19" spans="1:4" ht="49.5">
      <c r="A19" s="168" t="s">
        <v>824</v>
      </c>
      <c r="B19" s="169" t="s">
        <v>668</v>
      </c>
      <c r="C19" s="170">
        <v>0</v>
      </c>
      <c r="D19" s="170">
        <v>-150.8</v>
      </c>
    </row>
    <row r="20" spans="1:4" ht="12.75">
      <c r="A20" s="165" t="s">
        <v>825</v>
      </c>
      <c r="B20" s="166" t="s">
        <v>826</v>
      </c>
      <c r="C20" s="167">
        <f>C21+C26+C24</f>
        <v>36314.799999999996</v>
      </c>
      <c r="D20" s="167">
        <f>D21+D26+D24</f>
        <v>37795.1</v>
      </c>
    </row>
    <row r="21" spans="1:4" ht="12.75">
      <c r="A21" s="165" t="s">
        <v>827</v>
      </c>
      <c r="B21" s="166" t="s">
        <v>670</v>
      </c>
      <c r="C21" s="167">
        <f>C22+C23</f>
        <v>33288.6</v>
      </c>
      <c r="D21" s="167">
        <f>D22+D23</f>
        <v>32504</v>
      </c>
    </row>
    <row r="22" spans="1:4" ht="12.75">
      <c r="A22" s="168" t="s">
        <v>828</v>
      </c>
      <c r="B22" s="171" t="s">
        <v>670</v>
      </c>
      <c r="C22" s="170">
        <v>33266.9</v>
      </c>
      <c r="D22" s="170">
        <v>32502</v>
      </c>
    </row>
    <row r="23" spans="1:4" ht="33">
      <c r="A23" s="168" t="s">
        <v>829</v>
      </c>
      <c r="B23" s="171" t="s">
        <v>674</v>
      </c>
      <c r="C23" s="170">
        <v>21.7</v>
      </c>
      <c r="D23" s="170">
        <v>2</v>
      </c>
    </row>
    <row r="24" spans="1:4" ht="12.75">
      <c r="A24" s="173" t="s">
        <v>830</v>
      </c>
      <c r="B24" s="174" t="s">
        <v>678</v>
      </c>
      <c r="C24" s="167">
        <f>C25</f>
        <v>0.2</v>
      </c>
      <c r="D24" s="167">
        <f>D25</f>
        <v>0.2</v>
      </c>
    </row>
    <row r="25" spans="1:4" ht="12.75">
      <c r="A25" s="175" t="s">
        <v>831</v>
      </c>
      <c r="B25" s="176" t="s">
        <v>678</v>
      </c>
      <c r="C25" s="170">
        <v>0.2</v>
      </c>
      <c r="D25" s="170">
        <v>0.2</v>
      </c>
    </row>
    <row r="26" spans="1:4" ht="12.75">
      <c r="A26" s="177" t="s">
        <v>832</v>
      </c>
      <c r="B26" s="172" t="s">
        <v>833</v>
      </c>
      <c r="C26" s="167">
        <f>C27</f>
        <v>3026</v>
      </c>
      <c r="D26" s="167">
        <f>D27</f>
        <v>5290.9</v>
      </c>
    </row>
    <row r="27" spans="1:4" ht="33">
      <c r="A27" s="178" t="s">
        <v>834</v>
      </c>
      <c r="B27" s="169" t="s">
        <v>680</v>
      </c>
      <c r="C27" s="170">
        <v>3026</v>
      </c>
      <c r="D27" s="170">
        <v>5290.9</v>
      </c>
    </row>
    <row r="28" spans="1:4" ht="12.75">
      <c r="A28" s="165" t="s">
        <v>835</v>
      </c>
      <c r="B28" s="166" t="s">
        <v>836</v>
      </c>
      <c r="C28" s="167">
        <f>C29+C31</f>
        <v>56501.3</v>
      </c>
      <c r="D28" s="167">
        <f>D29+D31</f>
        <v>55384.299999999996</v>
      </c>
    </row>
    <row r="29" spans="1:4" ht="12.75">
      <c r="A29" s="165" t="s">
        <v>837</v>
      </c>
      <c r="B29" s="166" t="s">
        <v>838</v>
      </c>
      <c r="C29" s="167">
        <f>C30</f>
        <v>9668</v>
      </c>
      <c r="D29" s="167">
        <f>D30</f>
        <v>7913</v>
      </c>
    </row>
    <row r="30" spans="1:4" ht="33">
      <c r="A30" s="168" t="s">
        <v>839</v>
      </c>
      <c r="B30" s="171" t="s">
        <v>684</v>
      </c>
      <c r="C30" s="179">
        <v>9668</v>
      </c>
      <c r="D30" s="179">
        <v>7913</v>
      </c>
    </row>
    <row r="31" spans="1:4" ht="12.75">
      <c r="A31" s="165" t="s">
        <v>840</v>
      </c>
      <c r="B31" s="166" t="s">
        <v>841</v>
      </c>
      <c r="C31" s="167">
        <f>C32+C34</f>
        <v>46833.3</v>
      </c>
      <c r="D31" s="167">
        <f>D32+D34</f>
        <v>47471.299999999996</v>
      </c>
    </row>
    <row r="32" spans="1:4" ht="12.75">
      <c r="A32" s="168" t="s">
        <v>842</v>
      </c>
      <c r="B32" s="171" t="s">
        <v>843</v>
      </c>
      <c r="C32" s="170">
        <f>C33</f>
        <v>41679.3</v>
      </c>
      <c r="D32" s="170">
        <f>D33</f>
        <v>41592.7</v>
      </c>
    </row>
    <row r="33" spans="1:4" ht="33">
      <c r="A33" s="168" t="s">
        <v>844</v>
      </c>
      <c r="B33" s="171" t="s">
        <v>688</v>
      </c>
      <c r="C33" s="179">
        <v>41679.3</v>
      </c>
      <c r="D33" s="179">
        <v>41592.7</v>
      </c>
    </row>
    <row r="34" spans="1:4" ht="12.75">
      <c r="A34" s="168" t="s">
        <v>845</v>
      </c>
      <c r="B34" s="171" t="s">
        <v>846</v>
      </c>
      <c r="C34" s="170">
        <f>C35</f>
        <v>5154</v>
      </c>
      <c r="D34" s="170">
        <f>D35</f>
        <v>5878.6</v>
      </c>
    </row>
    <row r="35" spans="1:4" ht="33">
      <c r="A35" s="168" t="s">
        <v>847</v>
      </c>
      <c r="B35" s="171" t="s">
        <v>693</v>
      </c>
      <c r="C35" s="179">
        <v>5154</v>
      </c>
      <c r="D35" s="179">
        <v>5878.6</v>
      </c>
    </row>
    <row r="36" spans="1:4" ht="12.75">
      <c r="A36" s="165" t="s">
        <v>848</v>
      </c>
      <c r="B36" s="166" t="s">
        <v>849</v>
      </c>
      <c r="C36" s="167">
        <f>C37+C39</f>
        <v>4106</v>
      </c>
      <c r="D36" s="167">
        <f>D37+D39</f>
        <v>4259</v>
      </c>
    </row>
    <row r="37" spans="1:4" ht="33">
      <c r="A37" s="165" t="s">
        <v>850</v>
      </c>
      <c r="B37" s="166" t="s">
        <v>851</v>
      </c>
      <c r="C37" s="167">
        <f>C38</f>
        <v>4056</v>
      </c>
      <c r="D37" s="167">
        <f>D38</f>
        <v>4209</v>
      </c>
    </row>
    <row r="38" spans="1:4" ht="33">
      <c r="A38" s="168" t="s">
        <v>852</v>
      </c>
      <c r="B38" s="171" t="s">
        <v>698</v>
      </c>
      <c r="C38" s="179">
        <v>4056</v>
      </c>
      <c r="D38" s="179">
        <v>4209</v>
      </c>
    </row>
    <row r="39" spans="1:4" ht="33">
      <c r="A39" s="165" t="s">
        <v>853</v>
      </c>
      <c r="B39" s="166" t="s">
        <v>854</v>
      </c>
      <c r="C39" s="180">
        <f>C40</f>
        <v>50</v>
      </c>
      <c r="D39" s="180">
        <f>D40</f>
        <v>50</v>
      </c>
    </row>
    <row r="40" spans="1:4" ht="12.75">
      <c r="A40" s="168" t="s">
        <v>855</v>
      </c>
      <c r="B40" s="171" t="s">
        <v>700</v>
      </c>
      <c r="C40" s="179">
        <v>50</v>
      </c>
      <c r="D40" s="179">
        <v>50</v>
      </c>
    </row>
    <row r="41" spans="1:4" ht="33">
      <c r="A41" s="165" t="s">
        <v>856</v>
      </c>
      <c r="B41" s="166" t="s">
        <v>857</v>
      </c>
      <c r="C41" s="167">
        <f>C42+C49+C52</f>
        <v>38289.600000000006</v>
      </c>
      <c r="D41" s="167">
        <f>D42+D49+D52</f>
        <v>44796.200000000004</v>
      </c>
    </row>
    <row r="42" spans="1:4" ht="82.5">
      <c r="A42" s="165" t="s">
        <v>858</v>
      </c>
      <c r="B42" s="166" t="s">
        <v>859</v>
      </c>
      <c r="C42" s="167">
        <f>C43+C45+C47</f>
        <v>36787.4</v>
      </c>
      <c r="D42" s="167">
        <f>D43+D45+D47</f>
        <v>42854</v>
      </c>
    </row>
    <row r="43" spans="1:4" ht="49.5">
      <c r="A43" s="168" t="s">
        <v>860</v>
      </c>
      <c r="B43" s="171" t="s">
        <v>861</v>
      </c>
      <c r="C43" s="170">
        <f>C44</f>
        <v>17778</v>
      </c>
      <c r="D43" s="170">
        <f>D44</f>
        <v>20352.6</v>
      </c>
    </row>
    <row r="44" spans="1:4" ht="66">
      <c r="A44" s="168" t="s">
        <v>862</v>
      </c>
      <c r="B44" s="171" t="s">
        <v>702</v>
      </c>
      <c r="C44" s="170">
        <v>17778</v>
      </c>
      <c r="D44" s="170">
        <v>20352.6</v>
      </c>
    </row>
    <row r="45" spans="1:4" ht="66">
      <c r="A45" s="168" t="s">
        <v>863</v>
      </c>
      <c r="B45" s="171" t="s">
        <v>864</v>
      </c>
      <c r="C45" s="179">
        <f>C46</f>
        <v>2083.2</v>
      </c>
      <c r="D45" s="179">
        <f>D46</f>
        <v>2909.6</v>
      </c>
    </row>
    <row r="46" spans="1:4" ht="66">
      <c r="A46" s="168" t="s">
        <v>865</v>
      </c>
      <c r="B46" s="171" t="s">
        <v>704</v>
      </c>
      <c r="C46" s="170">
        <v>2083.2</v>
      </c>
      <c r="D46" s="170">
        <v>2909.6</v>
      </c>
    </row>
    <row r="47" spans="1:4" ht="33">
      <c r="A47" s="168" t="s">
        <v>866</v>
      </c>
      <c r="B47" s="171" t="s">
        <v>867</v>
      </c>
      <c r="C47" s="170">
        <f>C48</f>
        <v>16926.2</v>
      </c>
      <c r="D47" s="170">
        <f>D48</f>
        <v>19591.8</v>
      </c>
    </row>
    <row r="48" spans="1:4" ht="33">
      <c r="A48" s="168" t="s">
        <v>868</v>
      </c>
      <c r="B48" s="171" t="s">
        <v>706</v>
      </c>
      <c r="C48" s="170">
        <v>16926.2</v>
      </c>
      <c r="D48" s="170">
        <v>19591.8</v>
      </c>
    </row>
    <row r="49" spans="1:4" ht="12.75">
      <c r="A49" s="165" t="s">
        <v>869</v>
      </c>
      <c r="B49" s="166" t="s">
        <v>870</v>
      </c>
      <c r="C49" s="167">
        <f>C50</f>
        <v>583.9</v>
      </c>
      <c r="D49" s="167">
        <f>D50</f>
        <v>974.3</v>
      </c>
    </row>
    <row r="50" spans="1:4" ht="33">
      <c r="A50" s="168" t="s">
        <v>871</v>
      </c>
      <c r="B50" s="171" t="s">
        <v>872</v>
      </c>
      <c r="C50" s="170">
        <f>C51</f>
        <v>583.9</v>
      </c>
      <c r="D50" s="170">
        <f>D51</f>
        <v>974.3</v>
      </c>
    </row>
    <row r="51" spans="1:4" ht="49.5">
      <c r="A51" s="168" t="s">
        <v>873</v>
      </c>
      <c r="B51" s="171" t="s">
        <v>708</v>
      </c>
      <c r="C51" s="170">
        <v>583.9</v>
      </c>
      <c r="D51" s="170">
        <v>974.3</v>
      </c>
    </row>
    <row r="52" spans="1:4" ht="66">
      <c r="A52" s="173" t="s">
        <v>874</v>
      </c>
      <c r="B52" s="289" t="s">
        <v>875</v>
      </c>
      <c r="C52" s="167">
        <f>C53</f>
        <v>918.3</v>
      </c>
      <c r="D52" s="167">
        <f>D53</f>
        <v>967.9</v>
      </c>
    </row>
    <row r="53" spans="1:4" ht="66">
      <c r="A53" s="175" t="s">
        <v>876</v>
      </c>
      <c r="B53" s="195" t="s">
        <v>877</v>
      </c>
      <c r="C53" s="170">
        <f>C54</f>
        <v>918.3</v>
      </c>
      <c r="D53" s="170">
        <f>D54</f>
        <v>967.9</v>
      </c>
    </row>
    <row r="54" spans="1:4" ht="66">
      <c r="A54" s="175" t="s">
        <v>878</v>
      </c>
      <c r="B54" s="195" t="s">
        <v>710</v>
      </c>
      <c r="C54" s="170">
        <v>918.3</v>
      </c>
      <c r="D54" s="170">
        <v>967.9</v>
      </c>
    </row>
    <row r="55" spans="1:4" ht="12.75">
      <c r="A55" s="165" t="s">
        <v>879</v>
      </c>
      <c r="B55" s="166" t="s">
        <v>880</v>
      </c>
      <c r="C55" s="167">
        <f>C56</f>
        <v>1768.4</v>
      </c>
      <c r="D55" s="167">
        <f>D56</f>
        <v>1942.3000000000002</v>
      </c>
    </row>
    <row r="56" spans="1:4" ht="12.75">
      <c r="A56" s="165" t="s">
        <v>881</v>
      </c>
      <c r="B56" s="166" t="s">
        <v>882</v>
      </c>
      <c r="C56" s="167">
        <f>SUM(C57:C60)</f>
        <v>1768.4</v>
      </c>
      <c r="D56" s="167">
        <f>SUM(D57:D60)</f>
        <v>1942.3000000000002</v>
      </c>
    </row>
    <row r="57" spans="1:4" ht="33">
      <c r="A57" s="181" t="s">
        <v>883</v>
      </c>
      <c r="B57" s="169" t="s">
        <v>712</v>
      </c>
      <c r="C57" s="170">
        <v>958</v>
      </c>
      <c r="D57" s="170">
        <v>1108.7</v>
      </c>
    </row>
    <row r="58" spans="1:4" ht="33">
      <c r="A58" s="182" t="s">
        <v>884</v>
      </c>
      <c r="B58" s="290" t="s">
        <v>714</v>
      </c>
      <c r="C58" s="170">
        <v>8.2</v>
      </c>
      <c r="D58" s="170">
        <v>8.2</v>
      </c>
    </row>
    <row r="59" spans="1:4" ht="12.75">
      <c r="A59" s="181" t="s">
        <v>885</v>
      </c>
      <c r="B59" s="169" t="s">
        <v>716</v>
      </c>
      <c r="C59" s="170">
        <v>716.2</v>
      </c>
      <c r="D59" s="170">
        <v>728.7</v>
      </c>
    </row>
    <row r="60" spans="1:4" ht="12.75">
      <c r="A60" s="181" t="s">
        <v>886</v>
      </c>
      <c r="B60" s="169" t="s">
        <v>718</v>
      </c>
      <c r="C60" s="170">
        <v>86</v>
      </c>
      <c r="D60" s="170">
        <v>96.7</v>
      </c>
    </row>
    <row r="61" spans="1:4" ht="33">
      <c r="A61" s="165" t="s">
        <v>887</v>
      </c>
      <c r="B61" s="172" t="s">
        <v>888</v>
      </c>
      <c r="C61" s="167">
        <f>C62+C65</f>
        <v>1909.9</v>
      </c>
      <c r="D61" s="167">
        <f>D62+D65</f>
        <v>1934.2</v>
      </c>
    </row>
    <row r="62" spans="1:4" ht="12.75">
      <c r="A62" s="183" t="s">
        <v>889</v>
      </c>
      <c r="B62" s="172" t="s">
        <v>890</v>
      </c>
      <c r="C62" s="167">
        <f>C63</f>
        <v>1765</v>
      </c>
      <c r="D62" s="167">
        <f>D63</f>
        <v>1765</v>
      </c>
    </row>
    <row r="63" spans="1:4" ht="12.75">
      <c r="A63" s="181" t="s">
        <v>891</v>
      </c>
      <c r="B63" s="169" t="s">
        <v>892</v>
      </c>
      <c r="C63" s="170">
        <f>C64</f>
        <v>1765</v>
      </c>
      <c r="D63" s="170">
        <f>D64</f>
        <v>1765</v>
      </c>
    </row>
    <row r="64" spans="1:4" ht="33">
      <c r="A64" s="181" t="s">
        <v>893</v>
      </c>
      <c r="B64" s="169" t="s">
        <v>720</v>
      </c>
      <c r="C64" s="170">
        <v>1765</v>
      </c>
      <c r="D64" s="170">
        <v>1765</v>
      </c>
    </row>
    <row r="65" spans="1:4" ht="12.75">
      <c r="A65" s="184" t="s">
        <v>894</v>
      </c>
      <c r="B65" s="291" t="s">
        <v>895</v>
      </c>
      <c r="C65" s="167">
        <f>C66</f>
        <v>144.9</v>
      </c>
      <c r="D65" s="167">
        <f>D66</f>
        <v>169.2</v>
      </c>
    </row>
    <row r="66" spans="1:4" ht="12.75">
      <c r="A66" s="182" t="s">
        <v>896</v>
      </c>
      <c r="B66" s="290" t="s">
        <v>897</v>
      </c>
      <c r="C66" s="170">
        <f>C67</f>
        <v>144.9</v>
      </c>
      <c r="D66" s="170">
        <f>D67</f>
        <v>169.2</v>
      </c>
    </row>
    <row r="67" spans="1:4" ht="12.75">
      <c r="A67" s="182" t="s">
        <v>898</v>
      </c>
      <c r="B67" s="290" t="s">
        <v>722</v>
      </c>
      <c r="C67" s="170">
        <v>144.9</v>
      </c>
      <c r="D67" s="170">
        <v>169.2</v>
      </c>
    </row>
    <row r="68" spans="1:4" ht="12.75">
      <c r="A68" s="165" t="s">
        <v>899</v>
      </c>
      <c r="B68" s="166" t="s">
        <v>900</v>
      </c>
      <c r="C68" s="167">
        <f>C69+C74</f>
        <v>19910.899999999998</v>
      </c>
      <c r="D68" s="167">
        <f>D69+D74</f>
        <v>19027.7</v>
      </c>
    </row>
    <row r="69" spans="1:4" ht="66">
      <c r="A69" s="165" t="s">
        <v>901</v>
      </c>
      <c r="B69" s="166" t="s">
        <v>902</v>
      </c>
      <c r="C69" s="167">
        <f>C70+C72</f>
        <v>18217.6</v>
      </c>
      <c r="D69" s="167">
        <f>D70+D72</f>
        <v>16428.5</v>
      </c>
    </row>
    <row r="70" spans="1:4" ht="66">
      <c r="A70" s="168" t="s">
        <v>903</v>
      </c>
      <c r="B70" s="171" t="s">
        <v>904</v>
      </c>
      <c r="C70" s="170">
        <f>C71</f>
        <v>18207.1</v>
      </c>
      <c r="D70" s="170">
        <f>D71</f>
        <v>16418</v>
      </c>
    </row>
    <row r="71" spans="1:4" ht="66">
      <c r="A71" s="168" t="s">
        <v>905</v>
      </c>
      <c r="B71" s="171" t="s">
        <v>724</v>
      </c>
      <c r="C71" s="170">
        <v>18207.1</v>
      </c>
      <c r="D71" s="170">
        <v>16418</v>
      </c>
    </row>
    <row r="72" spans="1:4" ht="66">
      <c r="A72" s="185" t="s">
        <v>906</v>
      </c>
      <c r="B72" s="171" t="s">
        <v>907</v>
      </c>
      <c r="C72" s="170">
        <f>C73</f>
        <v>10.5</v>
      </c>
      <c r="D72" s="170">
        <f>D73</f>
        <v>10.5</v>
      </c>
    </row>
    <row r="73" spans="1:4" ht="66">
      <c r="A73" s="185" t="s">
        <v>908</v>
      </c>
      <c r="B73" s="171" t="s">
        <v>726</v>
      </c>
      <c r="C73" s="170">
        <v>10.5</v>
      </c>
      <c r="D73" s="170">
        <v>10.5</v>
      </c>
    </row>
    <row r="74" spans="1:4" ht="33">
      <c r="A74" s="165" t="s">
        <v>909</v>
      </c>
      <c r="B74" s="166" t="s">
        <v>910</v>
      </c>
      <c r="C74" s="167">
        <f>C75</f>
        <v>1693.3</v>
      </c>
      <c r="D74" s="167">
        <f>D75</f>
        <v>2599.2</v>
      </c>
    </row>
    <row r="75" spans="1:4" ht="33">
      <c r="A75" s="168" t="s">
        <v>911</v>
      </c>
      <c r="B75" s="171" t="s">
        <v>912</v>
      </c>
      <c r="C75" s="170">
        <f>C76</f>
        <v>1693.3</v>
      </c>
      <c r="D75" s="170">
        <f>D76</f>
        <v>2599.2</v>
      </c>
    </row>
    <row r="76" spans="1:4" ht="33">
      <c r="A76" s="168" t="s">
        <v>913</v>
      </c>
      <c r="B76" s="171" t="s">
        <v>728</v>
      </c>
      <c r="C76" s="170">
        <v>1693.3</v>
      </c>
      <c r="D76" s="170">
        <v>2599.2</v>
      </c>
    </row>
    <row r="77" spans="1:4" ht="12.75">
      <c r="A77" s="165" t="s">
        <v>914</v>
      </c>
      <c r="B77" s="166" t="s">
        <v>915</v>
      </c>
      <c r="C77" s="167">
        <f>C78+C88+C90+C95+C98+C100+C97+C81+C82+C85+C91+C93</f>
        <v>5248</v>
      </c>
      <c r="D77" s="167">
        <f>D78+D88+D90+D95+D98+D100+D97+D81+D82+D85+D91+D93</f>
        <v>7920.099999999999</v>
      </c>
    </row>
    <row r="78" spans="1:4" ht="33">
      <c r="A78" s="165" t="s">
        <v>916</v>
      </c>
      <c r="B78" s="166" t="s">
        <v>917</v>
      </c>
      <c r="C78" s="167">
        <f>C79+C80</f>
        <v>15.5</v>
      </c>
      <c r="D78" s="167">
        <f>D79+D80</f>
        <v>82.80000000000001</v>
      </c>
    </row>
    <row r="79" spans="1:4" ht="66">
      <c r="A79" s="168" t="s">
        <v>918</v>
      </c>
      <c r="B79" s="171" t="s">
        <v>730</v>
      </c>
      <c r="C79" s="170">
        <v>12</v>
      </c>
      <c r="D79" s="170">
        <v>67.4</v>
      </c>
    </row>
    <row r="80" spans="1:4" ht="49.5">
      <c r="A80" s="168" t="s">
        <v>919</v>
      </c>
      <c r="B80" s="171" t="s">
        <v>732</v>
      </c>
      <c r="C80" s="170">
        <v>3.5</v>
      </c>
      <c r="D80" s="170">
        <v>15.4</v>
      </c>
    </row>
    <row r="81" spans="1:4" ht="49.5">
      <c r="A81" s="183" t="s">
        <v>920</v>
      </c>
      <c r="B81" s="172" t="s">
        <v>734</v>
      </c>
      <c r="C81" s="167">
        <v>89</v>
      </c>
      <c r="D81" s="167">
        <v>24.6</v>
      </c>
    </row>
    <row r="82" spans="1:4" ht="49.5">
      <c r="A82" s="165" t="s">
        <v>921</v>
      </c>
      <c r="B82" s="166" t="s">
        <v>922</v>
      </c>
      <c r="C82" s="167">
        <f>SUM(C83:C84)</f>
        <v>77</v>
      </c>
      <c r="D82" s="167">
        <f>SUM(D83:D84)</f>
        <v>151.4</v>
      </c>
    </row>
    <row r="83" spans="1:4" ht="49.5">
      <c r="A83" s="168" t="s">
        <v>923</v>
      </c>
      <c r="B83" s="171" t="s">
        <v>736</v>
      </c>
      <c r="C83" s="170">
        <v>65</v>
      </c>
      <c r="D83" s="170">
        <v>151.4</v>
      </c>
    </row>
    <row r="84" spans="1:4" ht="33">
      <c r="A84" s="168" t="s">
        <v>924</v>
      </c>
      <c r="B84" s="171" t="s">
        <v>925</v>
      </c>
      <c r="C84" s="170">
        <v>12</v>
      </c>
      <c r="D84" s="170">
        <v>0</v>
      </c>
    </row>
    <row r="85" spans="1:4" ht="12.75">
      <c r="A85" s="165" t="s">
        <v>926</v>
      </c>
      <c r="B85" s="166" t="s">
        <v>927</v>
      </c>
      <c r="C85" s="170">
        <f>C86</f>
        <v>78.5</v>
      </c>
      <c r="D85" s="170">
        <f>D86</f>
        <v>78.5</v>
      </c>
    </row>
    <row r="86" spans="1:4" ht="33">
      <c r="A86" s="168" t="s">
        <v>928</v>
      </c>
      <c r="B86" s="171" t="s">
        <v>929</v>
      </c>
      <c r="C86" s="170">
        <f>C87</f>
        <v>78.5</v>
      </c>
      <c r="D86" s="170">
        <f>D87</f>
        <v>78.5</v>
      </c>
    </row>
    <row r="87" spans="1:4" ht="49.5">
      <c r="A87" s="168" t="s">
        <v>930</v>
      </c>
      <c r="B87" s="171" t="s">
        <v>738</v>
      </c>
      <c r="C87" s="170">
        <v>78.5</v>
      </c>
      <c r="D87" s="170">
        <v>78.5</v>
      </c>
    </row>
    <row r="88" spans="1:4" ht="99">
      <c r="A88" s="165" t="s">
        <v>931</v>
      </c>
      <c r="B88" s="166" t="s">
        <v>932</v>
      </c>
      <c r="C88" s="167">
        <f>C89</f>
        <v>72</v>
      </c>
      <c r="D88" s="167">
        <f>D89</f>
        <v>334.6</v>
      </c>
    </row>
    <row r="89" spans="1:4" ht="12.75">
      <c r="A89" s="168" t="s">
        <v>933</v>
      </c>
      <c r="B89" s="171" t="s">
        <v>740</v>
      </c>
      <c r="C89" s="170">
        <v>72</v>
      </c>
      <c r="D89" s="170">
        <v>334.6</v>
      </c>
    </row>
    <row r="90" spans="1:4" ht="49.5">
      <c r="A90" s="165" t="s">
        <v>934</v>
      </c>
      <c r="B90" s="166" t="s">
        <v>742</v>
      </c>
      <c r="C90" s="167">
        <v>2473</v>
      </c>
      <c r="D90" s="167">
        <v>3825.3</v>
      </c>
    </row>
    <row r="91" spans="1:4" ht="33">
      <c r="A91" s="173" t="s">
        <v>935</v>
      </c>
      <c r="B91" s="289" t="s">
        <v>936</v>
      </c>
      <c r="C91" s="167">
        <f>C92</f>
        <v>13.5</v>
      </c>
      <c r="D91" s="167">
        <f>D92</f>
        <v>43</v>
      </c>
    </row>
    <row r="92" spans="1:4" ht="12.75">
      <c r="A92" s="175" t="s">
        <v>937</v>
      </c>
      <c r="B92" s="195" t="s">
        <v>744</v>
      </c>
      <c r="C92" s="170">
        <v>13.5</v>
      </c>
      <c r="D92" s="170">
        <v>43</v>
      </c>
    </row>
    <row r="93" spans="1:4" ht="49.5">
      <c r="A93" s="173" t="s">
        <v>938</v>
      </c>
      <c r="B93" s="289" t="s">
        <v>939</v>
      </c>
      <c r="C93" s="167">
        <f>C94</f>
        <v>57.4</v>
      </c>
      <c r="D93" s="167">
        <f>D94</f>
        <v>57.4</v>
      </c>
    </row>
    <row r="94" spans="1:4" ht="49.5">
      <c r="A94" s="175" t="s">
        <v>940</v>
      </c>
      <c r="B94" s="195" t="s">
        <v>746</v>
      </c>
      <c r="C94" s="170">
        <v>57.4</v>
      </c>
      <c r="D94" s="170">
        <v>57.4</v>
      </c>
    </row>
    <row r="95" spans="1:4" ht="49.5">
      <c r="A95" s="165" t="s">
        <v>941</v>
      </c>
      <c r="B95" s="166" t="s">
        <v>942</v>
      </c>
      <c r="C95" s="167">
        <f>C96</f>
        <v>211.1</v>
      </c>
      <c r="D95" s="167">
        <f>D96</f>
        <v>124</v>
      </c>
    </row>
    <row r="96" spans="1:4" ht="49.5">
      <c r="A96" s="186" t="s">
        <v>943</v>
      </c>
      <c r="B96" s="171" t="s">
        <v>748</v>
      </c>
      <c r="C96" s="170">
        <v>211.1</v>
      </c>
      <c r="D96" s="170">
        <v>124</v>
      </c>
    </row>
    <row r="97" spans="1:4" ht="49.5">
      <c r="A97" s="187" t="s">
        <v>944</v>
      </c>
      <c r="B97" s="166" t="s">
        <v>750</v>
      </c>
      <c r="C97" s="167">
        <v>5</v>
      </c>
      <c r="D97" s="167">
        <v>20.5</v>
      </c>
    </row>
    <row r="98" spans="1:4" ht="33">
      <c r="A98" s="183" t="s">
        <v>945</v>
      </c>
      <c r="B98" s="172" t="s">
        <v>946</v>
      </c>
      <c r="C98" s="167">
        <f>C99</f>
        <v>25.2</v>
      </c>
      <c r="D98" s="167">
        <f>D99</f>
        <v>114.5</v>
      </c>
    </row>
    <row r="99" spans="1:4" ht="49.5">
      <c r="A99" s="181" t="s">
        <v>947</v>
      </c>
      <c r="B99" s="169" t="s">
        <v>752</v>
      </c>
      <c r="C99" s="170">
        <v>25.2</v>
      </c>
      <c r="D99" s="170">
        <v>114.5</v>
      </c>
    </row>
    <row r="100" spans="1:4" ht="33">
      <c r="A100" s="165" t="s">
        <v>948</v>
      </c>
      <c r="B100" s="166" t="s">
        <v>949</v>
      </c>
      <c r="C100" s="167">
        <f>C101</f>
        <v>2130.8</v>
      </c>
      <c r="D100" s="167">
        <f>D101</f>
        <v>3063.5</v>
      </c>
    </row>
    <row r="101" spans="1:4" ht="33">
      <c r="A101" s="168" t="s">
        <v>950</v>
      </c>
      <c r="B101" s="171" t="s">
        <v>754</v>
      </c>
      <c r="C101" s="170">
        <v>2130.8</v>
      </c>
      <c r="D101" s="170">
        <v>3063.5</v>
      </c>
    </row>
    <row r="102" spans="1:4" ht="12.75">
      <c r="A102" s="165" t="s">
        <v>951</v>
      </c>
      <c r="B102" s="166" t="s">
        <v>952</v>
      </c>
      <c r="C102" s="167">
        <f>C103+C143+C140+C147+C151</f>
        <v>312609.0999999999</v>
      </c>
      <c r="D102" s="167">
        <f>D103+D143+D140+D147+D151</f>
        <v>305826.2</v>
      </c>
    </row>
    <row r="103" spans="1:4" ht="33">
      <c r="A103" s="188" t="s">
        <v>953</v>
      </c>
      <c r="B103" s="189" t="s">
        <v>954</v>
      </c>
      <c r="C103" s="167">
        <f>C117+C104+C107+C135</f>
        <v>308697.99999999994</v>
      </c>
      <c r="D103" s="167">
        <f>D117+D104+D107+D135</f>
        <v>308015.3</v>
      </c>
    </row>
    <row r="104" spans="1:4" ht="33">
      <c r="A104" s="190" t="s">
        <v>955</v>
      </c>
      <c r="B104" s="191" t="s">
        <v>956</v>
      </c>
      <c r="C104" s="167">
        <f>C105</f>
        <v>24862.3</v>
      </c>
      <c r="D104" s="167">
        <f>D105</f>
        <v>24862.3</v>
      </c>
    </row>
    <row r="105" spans="1:4" ht="12.75">
      <c r="A105" s="168" t="s">
        <v>957</v>
      </c>
      <c r="B105" s="192" t="s">
        <v>958</v>
      </c>
      <c r="C105" s="170">
        <f>C106</f>
        <v>24862.3</v>
      </c>
      <c r="D105" s="170">
        <f>D106</f>
        <v>24862.3</v>
      </c>
    </row>
    <row r="106" spans="1:4" ht="33">
      <c r="A106" s="168" t="s">
        <v>959</v>
      </c>
      <c r="B106" s="192" t="s">
        <v>756</v>
      </c>
      <c r="C106" s="170">
        <v>24862.3</v>
      </c>
      <c r="D106" s="170">
        <v>24862.3</v>
      </c>
    </row>
    <row r="107" spans="1:4" ht="33">
      <c r="A107" s="188" t="s">
        <v>960</v>
      </c>
      <c r="B107" s="189" t="s">
        <v>961</v>
      </c>
      <c r="C107" s="167">
        <f>C112+C108+C110</f>
        <v>9759.800000000001</v>
      </c>
      <c r="D107" s="167">
        <f>D112+D108+D110</f>
        <v>9699.900000000001</v>
      </c>
    </row>
    <row r="108" spans="1:4" ht="12.75">
      <c r="A108" s="168" t="s">
        <v>962</v>
      </c>
      <c r="B108" s="193" t="s">
        <v>963</v>
      </c>
      <c r="C108" s="170">
        <f>C109</f>
        <v>418.9</v>
      </c>
      <c r="D108" s="170">
        <f>D109</f>
        <v>418.9</v>
      </c>
    </row>
    <row r="109" spans="1:4" ht="12.75">
      <c r="A109" s="168" t="s">
        <v>964</v>
      </c>
      <c r="B109" s="193" t="s">
        <v>758</v>
      </c>
      <c r="C109" s="170">
        <v>418.9</v>
      </c>
      <c r="D109" s="170">
        <v>418.9</v>
      </c>
    </row>
    <row r="110" spans="1:4" ht="12.75">
      <c r="A110" s="168" t="s">
        <v>965</v>
      </c>
      <c r="B110" s="193" t="s">
        <v>966</v>
      </c>
      <c r="C110" s="170">
        <f>C111</f>
        <v>1274.1</v>
      </c>
      <c r="D110" s="170">
        <f>D111</f>
        <v>1274.1</v>
      </c>
    </row>
    <row r="111" spans="1:4" ht="12.75">
      <c r="A111" s="168" t="s">
        <v>967</v>
      </c>
      <c r="B111" s="193" t="s">
        <v>760</v>
      </c>
      <c r="C111" s="170">
        <v>1274.1</v>
      </c>
      <c r="D111" s="170">
        <v>1274.1</v>
      </c>
    </row>
    <row r="112" spans="1:4" ht="12.75">
      <c r="A112" s="194" t="s">
        <v>968</v>
      </c>
      <c r="B112" s="195" t="s">
        <v>969</v>
      </c>
      <c r="C112" s="196">
        <f>SUM(C113:C116)</f>
        <v>8066.800000000001</v>
      </c>
      <c r="D112" s="196">
        <f>SUM(D113:D116)</f>
        <v>8006.900000000001</v>
      </c>
    </row>
    <row r="113" spans="1:4" ht="33">
      <c r="A113" s="194" t="s">
        <v>970</v>
      </c>
      <c r="B113" s="195" t="s">
        <v>762</v>
      </c>
      <c r="C113" s="170">
        <v>4227</v>
      </c>
      <c r="D113" s="170">
        <v>4227</v>
      </c>
    </row>
    <row r="114" spans="1:4" ht="12.75">
      <c r="A114" s="194" t="s">
        <v>970</v>
      </c>
      <c r="B114" s="195" t="s">
        <v>766</v>
      </c>
      <c r="C114" s="170">
        <v>477.6</v>
      </c>
      <c r="D114" s="170">
        <v>477.6</v>
      </c>
    </row>
    <row r="115" spans="1:4" ht="12.75">
      <c r="A115" s="194" t="s">
        <v>970</v>
      </c>
      <c r="B115" s="195" t="s">
        <v>573</v>
      </c>
      <c r="C115" s="170">
        <v>3107.1</v>
      </c>
      <c r="D115" s="170">
        <f>246.3+2860.8</f>
        <v>3107.1000000000004</v>
      </c>
    </row>
    <row r="116" spans="1:4" ht="12.75">
      <c r="A116" s="194" t="s">
        <v>970</v>
      </c>
      <c r="B116" s="195" t="s">
        <v>574</v>
      </c>
      <c r="C116" s="170">
        <v>255.1</v>
      </c>
      <c r="D116" s="170">
        <v>195.2</v>
      </c>
    </row>
    <row r="117" spans="1:4" ht="12.75">
      <c r="A117" s="188" t="s">
        <v>971</v>
      </c>
      <c r="B117" s="189" t="s">
        <v>972</v>
      </c>
      <c r="C117" s="167">
        <f>C118+C120+C124+C128+C122+C126</f>
        <v>273961.8</v>
      </c>
      <c r="D117" s="167">
        <f>D118+D120+D124+D128+D122+D126</f>
        <v>273339</v>
      </c>
    </row>
    <row r="118" spans="1:4" ht="12.75">
      <c r="A118" s="168" t="s">
        <v>973</v>
      </c>
      <c r="B118" s="193" t="s">
        <v>974</v>
      </c>
      <c r="C118" s="170">
        <f>C119</f>
        <v>1206</v>
      </c>
      <c r="D118" s="170">
        <f>D119</f>
        <v>1206</v>
      </c>
    </row>
    <row r="119" spans="1:4" ht="33">
      <c r="A119" s="168" t="s">
        <v>975</v>
      </c>
      <c r="B119" s="193" t="s">
        <v>769</v>
      </c>
      <c r="C119" s="170">
        <v>1206</v>
      </c>
      <c r="D119" s="170">
        <v>1206</v>
      </c>
    </row>
    <row r="120" spans="1:4" ht="33">
      <c r="A120" s="168" t="s">
        <v>976</v>
      </c>
      <c r="B120" s="197" t="s">
        <v>977</v>
      </c>
      <c r="C120" s="170">
        <f>C121</f>
        <v>42.8</v>
      </c>
      <c r="D120" s="170">
        <f>D121</f>
        <v>42.8</v>
      </c>
    </row>
    <row r="121" spans="1:4" ht="33">
      <c r="A121" s="168" t="s">
        <v>978</v>
      </c>
      <c r="B121" s="197" t="s">
        <v>771</v>
      </c>
      <c r="C121" s="170">
        <v>42.8</v>
      </c>
      <c r="D121" s="170">
        <v>42.8</v>
      </c>
    </row>
    <row r="122" spans="1:4" ht="49.5">
      <c r="A122" s="168" t="s">
        <v>979</v>
      </c>
      <c r="B122" s="197" t="s">
        <v>980</v>
      </c>
      <c r="C122" s="170">
        <f>C123</f>
        <v>7487.8</v>
      </c>
      <c r="D122" s="170">
        <f>D123</f>
        <v>7487.8</v>
      </c>
    </row>
    <row r="123" spans="1:4" ht="66">
      <c r="A123" s="198" t="s">
        <v>981</v>
      </c>
      <c r="B123" s="197" t="s">
        <v>773</v>
      </c>
      <c r="C123" s="170">
        <v>7487.8</v>
      </c>
      <c r="D123" s="170">
        <v>7487.8</v>
      </c>
    </row>
    <row r="124" spans="1:4" ht="49.5">
      <c r="A124" s="168" t="s">
        <v>982</v>
      </c>
      <c r="B124" s="193" t="s">
        <v>983</v>
      </c>
      <c r="C124" s="170">
        <f>C125</f>
        <v>6864.9</v>
      </c>
      <c r="D124" s="170">
        <f>D125</f>
        <v>6864.9</v>
      </c>
    </row>
    <row r="125" spans="1:4" ht="49.5">
      <c r="A125" s="168" t="s">
        <v>984</v>
      </c>
      <c r="B125" s="193" t="s">
        <v>775</v>
      </c>
      <c r="C125" s="170">
        <v>6864.9</v>
      </c>
      <c r="D125" s="170">
        <v>6864.9</v>
      </c>
    </row>
    <row r="126" spans="1:4" ht="33">
      <c r="A126" s="168" t="s">
        <v>985</v>
      </c>
      <c r="B126" s="193" t="s">
        <v>986</v>
      </c>
      <c r="C126" s="170">
        <f>C127</f>
        <v>1899</v>
      </c>
      <c r="D126" s="170">
        <f>D127</f>
        <v>1277.4</v>
      </c>
    </row>
    <row r="127" spans="1:4" ht="33">
      <c r="A127" s="168" t="s">
        <v>987</v>
      </c>
      <c r="B127" s="193" t="s">
        <v>777</v>
      </c>
      <c r="C127" s="170">
        <v>1899</v>
      </c>
      <c r="D127" s="170">
        <v>1277.4</v>
      </c>
    </row>
    <row r="128" spans="1:4" ht="12.75">
      <c r="A128" s="168" t="s">
        <v>988</v>
      </c>
      <c r="B128" s="193" t="s">
        <v>989</v>
      </c>
      <c r="C128" s="170">
        <f>SUM(C129:C134)</f>
        <v>256461.3</v>
      </c>
      <c r="D128" s="170">
        <f>SUM(D129:D134)</f>
        <v>256460.1</v>
      </c>
    </row>
    <row r="129" spans="1:4" ht="82.5">
      <c r="A129" s="168" t="s">
        <v>990</v>
      </c>
      <c r="B129" s="193" t="s">
        <v>991</v>
      </c>
      <c r="C129" s="170">
        <v>169112.6</v>
      </c>
      <c r="D129" s="170">
        <v>169112.6</v>
      </c>
    </row>
    <row r="130" spans="1:4" ht="49.5">
      <c r="A130" s="168" t="s">
        <v>990</v>
      </c>
      <c r="B130" s="193" t="s">
        <v>992</v>
      </c>
      <c r="C130" s="170">
        <v>86181.9</v>
      </c>
      <c r="D130" s="170">
        <v>86181.9</v>
      </c>
    </row>
    <row r="131" spans="1:4" ht="33">
      <c r="A131" s="168" t="s">
        <v>990</v>
      </c>
      <c r="B131" s="193" t="s">
        <v>993</v>
      </c>
      <c r="C131" s="170">
        <v>650</v>
      </c>
      <c r="D131" s="170">
        <v>650</v>
      </c>
    </row>
    <row r="132" spans="1:4" ht="49.5">
      <c r="A132" s="168" t="s">
        <v>990</v>
      </c>
      <c r="B132" s="193" t="s">
        <v>783</v>
      </c>
      <c r="C132" s="170">
        <v>264</v>
      </c>
      <c r="D132" s="170">
        <v>264</v>
      </c>
    </row>
    <row r="133" spans="1:4" ht="66">
      <c r="A133" s="168" t="s">
        <v>990</v>
      </c>
      <c r="B133" s="193" t="s">
        <v>785</v>
      </c>
      <c r="C133" s="170">
        <v>250.9</v>
      </c>
      <c r="D133" s="170">
        <v>250.9</v>
      </c>
    </row>
    <row r="134" spans="1:4" ht="82.5">
      <c r="A134" s="168" t="s">
        <v>990</v>
      </c>
      <c r="B134" s="193" t="s">
        <v>789</v>
      </c>
      <c r="C134" s="170">
        <v>1.9</v>
      </c>
      <c r="D134" s="170">
        <v>0.7</v>
      </c>
    </row>
    <row r="135" spans="1:4" ht="12.75">
      <c r="A135" s="184" t="s">
        <v>994</v>
      </c>
      <c r="B135" s="189" t="s">
        <v>995</v>
      </c>
      <c r="C135" s="167">
        <f>C138+C136</f>
        <v>114.1</v>
      </c>
      <c r="D135" s="167">
        <f>D138+D136</f>
        <v>114.1</v>
      </c>
    </row>
    <row r="136" spans="1:4" ht="49.5">
      <c r="A136" s="194" t="s">
        <v>996</v>
      </c>
      <c r="B136" s="154" t="s">
        <v>997</v>
      </c>
      <c r="C136" s="170">
        <f>C137</f>
        <v>14.1</v>
      </c>
      <c r="D136" s="170">
        <f>D137</f>
        <v>14.1</v>
      </c>
    </row>
    <row r="137" spans="1:4" ht="33">
      <c r="A137" s="194" t="s">
        <v>998</v>
      </c>
      <c r="B137" s="154" t="s">
        <v>791</v>
      </c>
      <c r="C137" s="170">
        <v>14.1</v>
      </c>
      <c r="D137" s="170">
        <v>14.1</v>
      </c>
    </row>
    <row r="138" spans="1:4" ht="12.75">
      <c r="A138" s="168" t="s">
        <v>999</v>
      </c>
      <c r="B138" s="193" t="s">
        <v>1000</v>
      </c>
      <c r="C138" s="170">
        <f>C139</f>
        <v>100</v>
      </c>
      <c r="D138" s="170">
        <f>D139</f>
        <v>100</v>
      </c>
    </row>
    <row r="139" spans="1:4" ht="49.5">
      <c r="A139" s="168" t="s">
        <v>1001</v>
      </c>
      <c r="B139" s="193" t="s">
        <v>793</v>
      </c>
      <c r="C139" s="170">
        <v>100</v>
      </c>
      <c r="D139" s="170">
        <v>100</v>
      </c>
    </row>
    <row r="140" spans="1:4" ht="33">
      <c r="A140" s="165" t="s">
        <v>1002</v>
      </c>
      <c r="B140" s="189" t="s">
        <v>1003</v>
      </c>
      <c r="C140" s="167">
        <f>C141</f>
        <v>811.1</v>
      </c>
      <c r="D140" s="167">
        <f>D141</f>
        <v>811.1</v>
      </c>
    </row>
    <row r="141" spans="1:4" ht="33">
      <c r="A141" s="168" t="s">
        <v>1004</v>
      </c>
      <c r="B141" s="193" t="s">
        <v>1005</v>
      </c>
      <c r="C141" s="170">
        <f>C142</f>
        <v>811.1</v>
      </c>
      <c r="D141" s="170">
        <f>D142</f>
        <v>811.1</v>
      </c>
    </row>
    <row r="142" spans="1:4" ht="33">
      <c r="A142" s="168" t="s">
        <v>1006</v>
      </c>
      <c r="B142" s="193" t="s">
        <v>795</v>
      </c>
      <c r="C142" s="170">
        <v>811.1</v>
      </c>
      <c r="D142" s="170">
        <v>811.1</v>
      </c>
    </row>
    <row r="143" spans="1:4" ht="12.75">
      <c r="A143" s="199" t="s">
        <v>1007</v>
      </c>
      <c r="B143" s="200" t="s">
        <v>1008</v>
      </c>
      <c r="C143" s="167">
        <f>C144</f>
        <v>3100</v>
      </c>
      <c r="D143" s="167">
        <f>D144</f>
        <v>3100</v>
      </c>
    </row>
    <row r="144" spans="1:4" ht="12.75">
      <c r="A144" s="194" t="s">
        <v>1009</v>
      </c>
      <c r="B144" s="154" t="s">
        <v>1010</v>
      </c>
      <c r="C144" s="170">
        <f>C146+C145</f>
        <v>3100</v>
      </c>
      <c r="D144" s="170">
        <f>D146+D145</f>
        <v>3100</v>
      </c>
    </row>
    <row r="145" spans="1:4" ht="66">
      <c r="A145" s="182" t="s">
        <v>1011</v>
      </c>
      <c r="B145" s="195" t="s">
        <v>797</v>
      </c>
      <c r="C145" s="292">
        <v>600</v>
      </c>
      <c r="D145" s="292">
        <v>600</v>
      </c>
    </row>
    <row r="146" spans="1:4" ht="12.75">
      <c r="A146" s="194" t="s">
        <v>1012</v>
      </c>
      <c r="B146" s="154" t="s">
        <v>799</v>
      </c>
      <c r="C146" s="170">
        <v>2500</v>
      </c>
      <c r="D146" s="170">
        <v>2500</v>
      </c>
    </row>
    <row r="147" spans="1:4" ht="82.5">
      <c r="A147" s="199" t="s">
        <v>1013</v>
      </c>
      <c r="B147" s="200" t="s">
        <v>1014</v>
      </c>
      <c r="C147" s="201">
        <f aca="true" t="shared" si="0" ref="C147:D149">C148</f>
        <v>0</v>
      </c>
      <c r="D147" s="201">
        <f t="shared" si="0"/>
        <v>0.4</v>
      </c>
    </row>
    <row r="148" spans="1:4" ht="33">
      <c r="A148" s="199" t="s">
        <v>1015</v>
      </c>
      <c r="B148" s="202" t="s">
        <v>1016</v>
      </c>
      <c r="C148" s="201">
        <f t="shared" si="0"/>
        <v>0</v>
      </c>
      <c r="D148" s="201">
        <f t="shared" si="0"/>
        <v>0.4</v>
      </c>
    </row>
    <row r="149" spans="1:4" ht="33">
      <c r="A149" s="194" t="s">
        <v>1017</v>
      </c>
      <c r="B149" s="203" t="s">
        <v>1018</v>
      </c>
      <c r="C149" s="196">
        <f t="shared" si="0"/>
        <v>0</v>
      </c>
      <c r="D149" s="196">
        <f t="shared" si="0"/>
        <v>0.4</v>
      </c>
    </row>
    <row r="150" spans="1:4" ht="33">
      <c r="A150" s="194" t="s">
        <v>1019</v>
      </c>
      <c r="B150" s="203" t="s">
        <v>801</v>
      </c>
      <c r="C150" s="196">
        <v>0</v>
      </c>
      <c r="D150" s="196">
        <v>0.4</v>
      </c>
    </row>
    <row r="151" spans="1:4" ht="33">
      <c r="A151" s="199" t="s">
        <v>1020</v>
      </c>
      <c r="B151" s="202" t="s">
        <v>1021</v>
      </c>
      <c r="C151" s="201">
        <f>C152</f>
        <v>0</v>
      </c>
      <c r="D151" s="201">
        <f>D152</f>
        <v>-6100.6</v>
      </c>
    </row>
    <row r="152" spans="1:4" ht="33">
      <c r="A152" s="175" t="s">
        <v>1022</v>
      </c>
      <c r="B152" s="204" t="s">
        <v>803</v>
      </c>
      <c r="C152" s="196">
        <v>0</v>
      </c>
      <c r="D152" s="196">
        <v>-6100.6</v>
      </c>
    </row>
    <row r="153" spans="1:4" ht="12.75">
      <c r="A153" s="205"/>
      <c r="B153" s="206" t="s">
        <v>1023</v>
      </c>
      <c r="C153" s="201">
        <f>C8+C102</f>
        <v>621720.3</v>
      </c>
      <c r="D153" s="201">
        <f>D8+D102</f>
        <v>620005.5</v>
      </c>
    </row>
  </sheetData>
  <mergeCells count="4">
    <mergeCell ref="B1:D1"/>
    <mergeCell ref="B2:D2"/>
    <mergeCell ref="B3:D3"/>
    <mergeCell ref="A5:D5"/>
  </mergeCells>
  <printOptions/>
  <pageMargins left="0.984251968503937" right="0.3937007874015748" top="0.28" bottom="0.3937007874015748" header="0.11811023622047245" footer="0.11811023622047245"/>
  <pageSetup fitToHeight="5" fitToWidth="1" horizontalDpi="600" verticalDpi="600" orientation="portrait" paperSize="9" scale="56" r:id="rId1"/>
</worksheet>
</file>

<file path=xl/worksheets/sheet5.xml><?xml version="1.0" encoding="utf-8"?>
<worksheet xmlns="http://schemas.openxmlformats.org/spreadsheetml/2006/main" xmlns:r="http://schemas.openxmlformats.org/officeDocument/2006/relationships">
  <sheetPr>
    <pageSetUpPr fitToPage="1"/>
  </sheetPr>
  <dimension ref="A1:H106"/>
  <sheetViews>
    <sheetView zoomScale="80" zoomScaleNormal="80" workbookViewId="0" topLeftCell="A1">
      <selection activeCell="H13" sqref="H13"/>
    </sheetView>
  </sheetViews>
  <sheetFormatPr defaultColWidth="9.125" defaultRowHeight="12.75"/>
  <cols>
    <col min="1" max="1" width="10.25390625" style="220" customWidth="1"/>
    <col min="2" max="2" width="61.125" style="209" customWidth="1"/>
    <col min="3" max="3" width="28.875" style="209" customWidth="1"/>
    <col min="4" max="4" width="16.125" style="221" customWidth="1"/>
    <col min="5" max="5" width="15.75390625" style="209" bestFit="1" customWidth="1"/>
    <col min="6" max="16384" width="9.125" style="209" customWidth="1"/>
  </cols>
  <sheetData>
    <row r="1" spans="1:4" ht="12.75">
      <c r="A1" s="208"/>
      <c r="B1" s="252" t="s">
        <v>1139</v>
      </c>
      <c r="C1" s="252"/>
      <c r="D1" s="252"/>
    </row>
    <row r="2" spans="1:4" ht="12.75">
      <c r="A2" s="208"/>
      <c r="B2" s="252" t="s">
        <v>1148</v>
      </c>
      <c r="C2" s="252"/>
      <c r="D2" s="252"/>
    </row>
    <row r="3" spans="1:4" ht="12.75">
      <c r="A3" s="208"/>
      <c r="B3" s="252" t="s">
        <v>1147</v>
      </c>
      <c r="C3" s="252"/>
      <c r="D3" s="252"/>
    </row>
    <row r="5" spans="1:4" ht="37.15" customHeight="1">
      <c r="A5" s="253" t="s">
        <v>1141</v>
      </c>
      <c r="B5" s="253"/>
      <c r="C5" s="253"/>
      <c r="D5" s="253"/>
    </row>
    <row r="7" spans="1:4" ht="12.75">
      <c r="A7" s="293" t="s">
        <v>1149</v>
      </c>
      <c r="B7" s="294" t="s">
        <v>1024</v>
      </c>
      <c r="C7" s="294" t="s">
        <v>1025</v>
      </c>
      <c r="D7" s="295" t="s">
        <v>647</v>
      </c>
    </row>
    <row r="8" spans="1:4" ht="68.25" customHeight="1">
      <c r="A8" s="293"/>
      <c r="B8" s="294"/>
      <c r="C8" s="294"/>
      <c r="D8" s="295"/>
    </row>
    <row r="9" spans="1:4" s="210" customFormat="1" ht="12.75">
      <c r="A9" s="231" t="s">
        <v>1026</v>
      </c>
      <c r="B9" s="296" t="s">
        <v>125</v>
      </c>
      <c r="C9" s="296"/>
      <c r="D9" s="296"/>
    </row>
    <row r="10" spans="1:4" s="210" customFormat="1" ht="33">
      <c r="A10" s="211"/>
      <c r="B10" s="151" t="s">
        <v>700</v>
      </c>
      <c r="C10" s="217" t="s">
        <v>1027</v>
      </c>
      <c r="D10" s="150">
        <v>50</v>
      </c>
    </row>
    <row r="11" spans="1:4" s="210" customFormat="1" ht="33">
      <c r="A11" s="211"/>
      <c r="B11" s="232" t="s">
        <v>722</v>
      </c>
      <c r="C11" s="217" t="s">
        <v>1028</v>
      </c>
      <c r="D11" s="150">
        <v>120.8</v>
      </c>
    </row>
    <row r="12" spans="1:4" s="210" customFormat="1" ht="82.5">
      <c r="A12" s="211"/>
      <c r="B12" s="232" t="s">
        <v>738</v>
      </c>
      <c r="C12" s="217" t="s">
        <v>1029</v>
      </c>
      <c r="D12" s="150">
        <v>55.6</v>
      </c>
    </row>
    <row r="13" spans="1:4" s="210" customFormat="1" ht="82.5">
      <c r="A13" s="211"/>
      <c r="B13" s="232" t="s">
        <v>748</v>
      </c>
      <c r="C13" s="217" t="s">
        <v>1030</v>
      </c>
      <c r="D13" s="150">
        <v>124</v>
      </c>
    </row>
    <row r="14" spans="1:8" ht="66">
      <c r="A14" s="212"/>
      <c r="B14" s="232" t="s">
        <v>752</v>
      </c>
      <c r="C14" s="217" t="s">
        <v>1031</v>
      </c>
      <c r="D14" s="150">
        <v>114.5</v>
      </c>
      <c r="H14" s="222"/>
    </row>
    <row r="15" spans="1:4" ht="49.5">
      <c r="A15" s="212"/>
      <c r="B15" s="232" t="s">
        <v>754</v>
      </c>
      <c r="C15" s="217" t="s">
        <v>1032</v>
      </c>
      <c r="D15" s="150">
        <v>1282.1</v>
      </c>
    </row>
    <row r="16" spans="1:4" ht="33">
      <c r="A16" s="212"/>
      <c r="B16" s="232" t="s">
        <v>764</v>
      </c>
      <c r="C16" s="217" t="s">
        <v>1033</v>
      </c>
      <c r="D16" s="150">
        <v>195.2</v>
      </c>
    </row>
    <row r="17" spans="1:4" ht="33">
      <c r="A17" s="212"/>
      <c r="B17" s="232" t="s">
        <v>766</v>
      </c>
      <c r="C17" s="217" t="s">
        <v>1033</v>
      </c>
      <c r="D17" s="150">
        <v>477.6</v>
      </c>
    </row>
    <row r="18" spans="1:4" ht="49.5">
      <c r="A18" s="212"/>
      <c r="B18" s="232" t="s">
        <v>769</v>
      </c>
      <c r="C18" s="217" t="s">
        <v>1034</v>
      </c>
      <c r="D18" s="150">
        <v>1206</v>
      </c>
    </row>
    <row r="19" spans="1:4" ht="66">
      <c r="A19" s="212"/>
      <c r="B19" s="232" t="s">
        <v>771</v>
      </c>
      <c r="C19" s="217" t="s">
        <v>1035</v>
      </c>
      <c r="D19" s="150">
        <v>42.8</v>
      </c>
    </row>
    <row r="20" spans="1:4" ht="49.5">
      <c r="A20" s="212"/>
      <c r="B20" s="232" t="s">
        <v>777</v>
      </c>
      <c r="C20" s="217" t="s">
        <v>1036</v>
      </c>
      <c r="D20" s="150">
        <v>1277.4</v>
      </c>
    </row>
    <row r="21" spans="1:4" ht="66">
      <c r="A21" s="212"/>
      <c r="B21" s="154" t="s">
        <v>779</v>
      </c>
      <c r="C21" s="217" t="s">
        <v>1037</v>
      </c>
      <c r="D21" s="150">
        <v>650</v>
      </c>
    </row>
    <row r="22" spans="1:4" ht="82.5">
      <c r="A22" s="212"/>
      <c r="B22" s="154" t="s">
        <v>783</v>
      </c>
      <c r="C22" s="217" t="s">
        <v>1037</v>
      </c>
      <c r="D22" s="150">
        <v>264</v>
      </c>
    </row>
    <row r="23" spans="1:4" ht="115.5">
      <c r="A23" s="212"/>
      <c r="B23" s="154" t="s">
        <v>785</v>
      </c>
      <c r="C23" s="217" t="s">
        <v>1037</v>
      </c>
      <c r="D23" s="150">
        <v>250.9</v>
      </c>
    </row>
    <row r="24" spans="1:4" ht="132">
      <c r="A24" s="212"/>
      <c r="B24" s="154" t="s">
        <v>789</v>
      </c>
      <c r="C24" s="217" t="s">
        <v>1037</v>
      </c>
      <c r="D24" s="150">
        <v>0.7</v>
      </c>
    </row>
    <row r="25" spans="1:4" ht="49.5">
      <c r="A25" s="212"/>
      <c r="B25" s="232" t="s">
        <v>791</v>
      </c>
      <c r="C25" s="217" t="s">
        <v>1038</v>
      </c>
      <c r="D25" s="150">
        <v>14.1</v>
      </c>
    </row>
    <row r="26" spans="1:4" ht="49.5">
      <c r="A26" s="212"/>
      <c r="B26" s="232" t="s">
        <v>795</v>
      </c>
      <c r="C26" s="217" t="s">
        <v>1039</v>
      </c>
      <c r="D26" s="150">
        <v>811.1</v>
      </c>
    </row>
    <row r="27" spans="1:4" ht="99">
      <c r="A27" s="212"/>
      <c r="B27" s="232" t="s">
        <v>797</v>
      </c>
      <c r="C27" s="217" t="s">
        <v>1040</v>
      </c>
      <c r="D27" s="150">
        <v>600</v>
      </c>
    </row>
    <row r="28" spans="1:4" ht="33">
      <c r="A28" s="212"/>
      <c r="B28" s="232" t="s">
        <v>799</v>
      </c>
      <c r="C28" s="217" t="s">
        <v>1041</v>
      </c>
      <c r="D28" s="150">
        <v>2500</v>
      </c>
    </row>
    <row r="29" spans="1:5" ht="66">
      <c r="A29" s="212"/>
      <c r="B29" s="232" t="s">
        <v>803</v>
      </c>
      <c r="C29" s="217" t="s">
        <v>1042</v>
      </c>
      <c r="D29" s="150">
        <v>-8.6</v>
      </c>
      <c r="E29" s="213"/>
    </row>
    <row r="30" spans="1:4" s="210" customFormat="1" ht="12.75">
      <c r="A30" s="214" t="s">
        <v>1043</v>
      </c>
      <c r="B30" s="297" t="s">
        <v>102</v>
      </c>
      <c r="C30" s="297"/>
      <c r="D30" s="297"/>
    </row>
    <row r="31" spans="1:4" s="210" customFormat="1" ht="33">
      <c r="A31" s="211"/>
      <c r="B31" s="232" t="s">
        <v>722</v>
      </c>
      <c r="C31" s="217" t="s">
        <v>1044</v>
      </c>
      <c r="D31" s="150">
        <v>17.9</v>
      </c>
    </row>
    <row r="32" spans="1:4" s="210" customFormat="1" ht="33">
      <c r="A32" s="214"/>
      <c r="B32" s="151" t="s">
        <v>756</v>
      </c>
      <c r="C32" s="298" t="s">
        <v>1045</v>
      </c>
      <c r="D32" s="150">
        <v>24862.3</v>
      </c>
    </row>
    <row r="33" spans="1:4" s="210" customFormat="1" ht="33.6" customHeight="1">
      <c r="A33" s="231" t="s">
        <v>1046</v>
      </c>
      <c r="B33" s="299" t="s">
        <v>8</v>
      </c>
      <c r="C33" s="299"/>
      <c r="D33" s="299"/>
    </row>
    <row r="34" spans="1:4" s="210" customFormat="1" ht="99">
      <c r="A34" s="211"/>
      <c r="B34" s="232" t="s">
        <v>702</v>
      </c>
      <c r="C34" s="149" t="s">
        <v>1047</v>
      </c>
      <c r="D34" s="150">
        <v>20352.6</v>
      </c>
    </row>
    <row r="35" spans="1:4" s="210" customFormat="1" ht="99">
      <c r="A35" s="211"/>
      <c r="B35" s="151" t="s">
        <v>704</v>
      </c>
      <c r="C35" s="217" t="s">
        <v>1048</v>
      </c>
      <c r="D35" s="150">
        <v>2909.6</v>
      </c>
    </row>
    <row r="36" spans="1:4" s="210" customFormat="1" ht="49.5">
      <c r="A36" s="211"/>
      <c r="B36" s="232" t="s">
        <v>706</v>
      </c>
      <c r="C36" s="217" t="s">
        <v>1049</v>
      </c>
      <c r="D36" s="150">
        <v>19591.8</v>
      </c>
    </row>
    <row r="37" spans="1:4" s="210" customFormat="1" ht="66">
      <c r="A37" s="211"/>
      <c r="B37" s="151" t="s">
        <v>708</v>
      </c>
      <c r="C37" s="217" t="s">
        <v>1050</v>
      </c>
      <c r="D37" s="150">
        <v>974.3</v>
      </c>
    </row>
    <row r="38" spans="1:4" s="210" customFormat="1" ht="99">
      <c r="A38" s="211"/>
      <c r="B38" s="151" t="s">
        <v>710</v>
      </c>
      <c r="C38" s="217" t="s">
        <v>1051</v>
      </c>
      <c r="D38" s="150">
        <v>967.9</v>
      </c>
    </row>
    <row r="39" spans="1:4" s="210" customFormat="1" ht="33">
      <c r="A39" s="211"/>
      <c r="B39" s="232" t="s">
        <v>720</v>
      </c>
      <c r="C39" s="217" t="s">
        <v>1052</v>
      </c>
      <c r="D39" s="150">
        <v>1765</v>
      </c>
    </row>
    <row r="40" spans="1:4" s="210" customFormat="1" ht="99">
      <c r="A40" s="211"/>
      <c r="B40" s="151" t="s">
        <v>724</v>
      </c>
      <c r="C40" s="217" t="s">
        <v>1053</v>
      </c>
      <c r="D40" s="150">
        <v>16418</v>
      </c>
    </row>
    <row r="41" spans="1:4" s="210" customFormat="1" ht="99">
      <c r="A41" s="211"/>
      <c r="B41" s="151" t="s">
        <v>726</v>
      </c>
      <c r="C41" s="217" t="s">
        <v>1054</v>
      </c>
      <c r="D41" s="150">
        <v>10.5</v>
      </c>
    </row>
    <row r="42" spans="1:5" s="210" customFormat="1" ht="66">
      <c r="A42" s="211"/>
      <c r="B42" s="152" t="s">
        <v>728</v>
      </c>
      <c r="C42" s="149" t="s">
        <v>1055</v>
      </c>
      <c r="D42" s="196">
        <v>2599.2</v>
      </c>
      <c r="E42" s="215"/>
    </row>
    <row r="43" spans="1:4" s="210" customFormat="1" ht="82.5">
      <c r="A43" s="211"/>
      <c r="B43" s="232" t="s">
        <v>746</v>
      </c>
      <c r="C43" s="217" t="s">
        <v>1056</v>
      </c>
      <c r="D43" s="150">
        <v>54.4</v>
      </c>
    </row>
    <row r="44" spans="1:4" s="210" customFormat="1" ht="49.5">
      <c r="A44" s="211"/>
      <c r="B44" s="232" t="s">
        <v>754</v>
      </c>
      <c r="C44" s="217" t="s">
        <v>1057</v>
      </c>
      <c r="D44" s="150">
        <v>520.1</v>
      </c>
    </row>
    <row r="45" spans="1:4" s="210" customFormat="1" ht="82.5">
      <c r="A45" s="211"/>
      <c r="B45" s="232" t="s">
        <v>775</v>
      </c>
      <c r="C45" s="217" t="s">
        <v>1058</v>
      </c>
      <c r="D45" s="150">
        <v>6864.9</v>
      </c>
    </row>
    <row r="46" spans="1:4" s="210" customFormat="1" ht="34.15" customHeight="1">
      <c r="A46" s="231" t="s">
        <v>1059</v>
      </c>
      <c r="B46" s="299" t="s">
        <v>21</v>
      </c>
      <c r="C46" s="299"/>
      <c r="D46" s="299"/>
    </row>
    <row r="47" spans="1:4" s="210" customFormat="1" ht="33">
      <c r="A47" s="231"/>
      <c r="B47" s="232" t="s">
        <v>722</v>
      </c>
      <c r="C47" s="217" t="s">
        <v>1060</v>
      </c>
      <c r="D47" s="150">
        <v>1.2</v>
      </c>
    </row>
    <row r="48" spans="1:4" s="210" customFormat="1" ht="33">
      <c r="A48" s="211"/>
      <c r="B48" s="232" t="s">
        <v>758</v>
      </c>
      <c r="C48" s="217" t="s">
        <v>1061</v>
      </c>
      <c r="D48" s="150">
        <v>418.9</v>
      </c>
    </row>
    <row r="49" spans="1:4" s="210" customFormat="1" ht="33">
      <c r="A49" s="211"/>
      <c r="B49" s="232" t="s">
        <v>760</v>
      </c>
      <c r="C49" s="217" t="s">
        <v>1062</v>
      </c>
      <c r="D49" s="150">
        <v>1274.1</v>
      </c>
    </row>
    <row r="50" spans="1:4" s="210" customFormat="1" ht="33">
      <c r="A50" s="211"/>
      <c r="B50" s="232" t="s">
        <v>573</v>
      </c>
      <c r="C50" s="217" t="s">
        <v>1063</v>
      </c>
      <c r="D50" s="150">
        <v>246.3</v>
      </c>
    </row>
    <row r="51" spans="1:4" s="210" customFormat="1" ht="12.75">
      <c r="A51" s="231" t="s">
        <v>1064</v>
      </c>
      <c r="B51" s="297" t="s">
        <v>25</v>
      </c>
      <c r="C51" s="297"/>
      <c r="D51" s="297"/>
    </row>
    <row r="52" spans="1:4" s="210" customFormat="1" ht="33">
      <c r="A52" s="211"/>
      <c r="B52" s="232" t="s">
        <v>722</v>
      </c>
      <c r="C52" s="217" t="s">
        <v>1065</v>
      </c>
      <c r="D52" s="150">
        <v>29.3</v>
      </c>
    </row>
    <row r="53" spans="1:4" s="210" customFormat="1" ht="82.5">
      <c r="A53" s="211"/>
      <c r="B53" s="232" t="s">
        <v>738</v>
      </c>
      <c r="C53" s="217" t="s">
        <v>1066</v>
      </c>
      <c r="D53" s="150">
        <v>22.9</v>
      </c>
    </row>
    <row r="54" spans="1:4" ht="49.5">
      <c r="A54" s="216"/>
      <c r="B54" s="232" t="s">
        <v>762</v>
      </c>
      <c r="C54" s="217" t="s">
        <v>1067</v>
      </c>
      <c r="D54" s="150">
        <v>4227</v>
      </c>
    </row>
    <row r="55" spans="1:4" ht="33">
      <c r="A55" s="216"/>
      <c r="B55" s="154" t="s">
        <v>573</v>
      </c>
      <c r="C55" s="217" t="s">
        <v>1067</v>
      </c>
      <c r="D55" s="150">
        <v>2860.8</v>
      </c>
    </row>
    <row r="56" spans="1:4" ht="99">
      <c r="A56" s="216"/>
      <c r="B56" s="154" t="s">
        <v>773</v>
      </c>
      <c r="C56" s="217" t="s">
        <v>1068</v>
      </c>
      <c r="D56" s="150">
        <v>7487.8</v>
      </c>
    </row>
    <row r="57" spans="1:4" ht="115.5">
      <c r="A57" s="216"/>
      <c r="B57" s="154" t="s">
        <v>991</v>
      </c>
      <c r="C57" s="217" t="s">
        <v>1069</v>
      </c>
      <c r="D57" s="150">
        <v>169112.6</v>
      </c>
    </row>
    <row r="58" spans="1:4" ht="66">
      <c r="A58" s="216"/>
      <c r="B58" s="154" t="s">
        <v>992</v>
      </c>
      <c r="C58" s="217" t="s">
        <v>1069</v>
      </c>
      <c r="D58" s="150">
        <v>86181.9</v>
      </c>
    </row>
    <row r="59" spans="1:4" ht="66">
      <c r="A59" s="216"/>
      <c r="B59" s="154" t="s">
        <v>793</v>
      </c>
      <c r="C59" s="217" t="s">
        <v>1070</v>
      </c>
      <c r="D59" s="150">
        <v>100</v>
      </c>
    </row>
    <row r="60" spans="1:4" ht="49.5">
      <c r="A60" s="216"/>
      <c r="B60" s="232" t="s">
        <v>801</v>
      </c>
      <c r="C60" s="217" t="s">
        <v>1071</v>
      </c>
      <c r="D60" s="150">
        <v>0.4</v>
      </c>
    </row>
    <row r="61" spans="1:5" ht="66">
      <c r="A61" s="216"/>
      <c r="B61" s="232" t="s">
        <v>803</v>
      </c>
      <c r="C61" s="217" t="s">
        <v>1072</v>
      </c>
      <c r="D61" s="150">
        <v>-6092</v>
      </c>
      <c r="E61" s="213"/>
    </row>
    <row r="62" spans="1:5" ht="35.45" customHeight="1">
      <c r="A62" s="218" t="s">
        <v>1073</v>
      </c>
      <c r="B62" s="296" t="s">
        <v>1074</v>
      </c>
      <c r="C62" s="296"/>
      <c r="D62" s="296"/>
      <c r="E62" s="213"/>
    </row>
    <row r="63" spans="1:5" ht="49.5">
      <c r="A63" s="216"/>
      <c r="B63" s="232" t="s">
        <v>754</v>
      </c>
      <c r="C63" s="217" t="s">
        <v>1075</v>
      </c>
      <c r="D63" s="150">
        <v>200</v>
      </c>
      <c r="E63" s="213"/>
    </row>
    <row r="64" spans="1:4" s="210" customFormat="1" ht="12.75">
      <c r="A64" s="218" t="s">
        <v>1076</v>
      </c>
      <c r="B64" s="299" t="s">
        <v>1077</v>
      </c>
      <c r="C64" s="299"/>
      <c r="D64" s="299"/>
    </row>
    <row r="65" spans="1:4" s="210" customFormat="1" ht="33">
      <c r="A65" s="216"/>
      <c r="B65" s="232" t="s">
        <v>712</v>
      </c>
      <c r="C65" s="217" t="s">
        <v>1078</v>
      </c>
      <c r="D65" s="150">
        <v>1108.7</v>
      </c>
    </row>
    <row r="66" spans="1:4" s="210" customFormat="1" ht="33">
      <c r="A66" s="216"/>
      <c r="B66" s="232" t="s">
        <v>714</v>
      </c>
      <c r="C66" s="217" t="s">
        <v>1079</v>
      </c>
      <c r="D66" s="150">
        <v>8.2</v>
      </c>
    </row>
    <row r="67" spans="1:4" s="210" customFormat="1" ht="33">
      <c r="A67" s="216"/>
      <c r="B67" s="232" t="s">
        <v>716</v>
      </c>
      <c r="C67" s="217" t="s">
        <v>1080</v>
      </c>
      <c r="D67" s="150">
        <v>728.7</v>
      </c>
    </row>
    <row r="68" spans="1:4" s="210" customFormat="1" ht="33">
      <c r="A68" s="216"/>
      <c r="B68" s="232" t="s">
        <v>718</v>
      </c>
      <c r="C68" s="217" t="s">
        <v>1081</v>
      </c>
      <c r="D68" s="150">
        <v>96.7</v>
      </c>
    </row>
    <row r="69" spans="1:4" s="210" customFormat="1" ht="12.75">
      <c r="A69" s="231" t="s">
        <v>1082</v>
      </c>
      <c r="B69" s="300" t="s">
        <v>1083</v>
      </c>
      <c r="C69" s="300"/>
      <c r="D69" s="300"/>
    </row>
    <row r="70" spans="1:5" s="210" customFormat="1" ht="49.5">
      <c r="A70" s="211"/>
      <c r="B70" s="232" t="s">
        <v>754</v>
      </c>
      <c r="C70" s="217" t="s">
        <v>1084</v>
      </c>
      <c r="D70" s="150">
        <v>12.5</v>
      </c>
      <c r="E70" s="215"/>
    </row>
    <row r="71" spans="1:4" s="210" customFormat="1" ht="12.75">
      <c r="A71" s="218" t="s">
        <v>1085</v>
      </c>
      <c r="B71" s="299" t="s">
        <v>1086</v>
      </c>
      <c r="C71" s="299"/>
      <c r="D71" s="299"/>
    </row>
    <row r="72" spans="1:5" ht="99">
      <c r="A72" s="149"/>
      <c r="B72" s="195" t="s">
        <v>662</v>
      </c>
      <c r="C72" s="217" t="s">
        <v>1087</v>
      </c>
      <c r="D72" s="150">
        <v>1018.4</v>
      </c>
      <c r="E72" s="213"/>
    </row>
    <row r="73" spans="1:5" ht="115.5">
      <c r="A73" s="149"/>
      <c r="B73" s="195" t="s">
        <v>664</v>
      </c>
      <c r="C73" s="217" t="s">
        <v>1088</v>
      </c>
      <c r="D73" s="150">
        <v>15.5</v>
      </c>
      <c r="E73" s="213"/>
    </row>
    <row r="74" spans="1:5" ht="99">
      <c r="A74" s="149"/>
      <c r="B74" s="195" t="s">
        <v>666</v>
      </c>
      <c r="C74" s="217" t="s">
        <v>1089</v>
      </c>
      <c r="D74" s="150">
        <v>2096</v>
      </c>
      <c r="E74" s="213"/>
    </row>
    <row r="75" spans="1:5" ht="99">
      <c r="A75" s="149"/>
      <c r="B75" s="195" t="s">
        <v>668</v>
      </c>
      <c r="C75" s="217" t="s">
        <v>1090</v>
      </c>
      <c r="D75" s="150">
        <v>-150.8</v>
      </c>
      <c r="E75" s="213"/>
    </row>
    <row r="76" spans="1:4" s="210" customFormat="1" ht="12.75">
      <c r="A76" s="218" t="s">
        <v>1091</v>
      </c>
      <c r="B76" s="299" t="s">
        <v>1092</v>
      </c>
      <c r="C76" s="299"/>
      <c r="D76" s="299"/>
    </row>
    <row r="77" spans="1:5" ht="66">
      <c r="A77" s="219"/>
      <c r="B77" s="195" t="s">
        <v>742</v>
      </c>
      <c r="C77" s="217" t="s">
        <v>1093</v>
      </c>
      <c r="D77" s="150">
        <v>3825.3</v>
      </c>
      <c r="E77" s="213"/>
    </row>
    <row r="78" spans="1:5" ht="12.75">
      <c r="A78" s="218" t="s">
        <v>1094</v>
      </c>
      <c r="B78" s="299" t="s">
        <v>1095</v>
      </c>
      <c r="C78" s="299"/>
      <c r="D78" s="299"/>
      <c r="E78" s="213"/>
    </row>
    <row r="79" spans="1:5" ht="82.5">
      <c r="A79" s="219"/>
      <c r="B79" s="195" t="s">
        <v>746</v>
      </c>
      <c r="C79" s="217" t="s">
        <v>1096</v>
      </c>
      <c r="D79" s="150">
        <v>3</v>
      </c>
      <c r="E79" s="213"/>
    </row>
    <row r="80" spans="1:4" s="210" customFormat="1" ht="12.75">
      <c r="A80" s="231" t="s">
        <v>1097</v>
      </c>
      <c r="B80" s="299" t="s">
        <v>1098</v>
      </c>
      <c r="C80" s="299"/>
      <c r="D80" s="299"/>
    </row>
    <row r="81" spans="1:4" ht="82.5">
      <c r="A81" s="149"/>
      <c r="B81" s="232" t="s">
        <v>648</v>
      </c>
      <c r="C81" s="217" t="s">
        <v>1099</v>
      </c>
      <c r="D81" s="150">
        <v>136831.2</v>
      </c>
    </row>
    <row r="82" spans="1:4" ht="132">
      <c r="A82" s="149"/>
      <c r="B82" s="232" t="s">
        <v>654</v>
      </c>
      <c r="C82" s="217" t="s">
        <v>1100</v>
      </c>
      <c r="D82" s="150">
        <v>584.8</v>
      </c>
    </row>
    <row r="83" spans="1:4" ht="49.5">
      <c r="A83" s="149"/>
      <c r="B83" s="232" t="s">
        <v>658</v>
      </c>
      <c r="C83" s="217" t="s">
        <v>1101</v>
      </c>
      <c r="D83" s="150">
        <v>725.3</v>
      </c>
    </row>
    <row r="84" spans="1:4" ht="33">
      <c r="A84" s="149"/>
      <c r="B84" s="232" t="s">
        <v>670</v>
      </c>
      <c r="C84" s="217" t="s">
        <v>1102</v>
      </c>
      <c r="D84" s="150">
        <v>32502</v>
      </c>
    </row>
    <row r="85" spans="1:4" ht="49.5">
      <c r="A85" s="216"/>
      <c r="B85" s="232" t="s">
        <v>674</v>
      </c>
      <c r="C85" s="217" t="s">
        <v>1103</v>
      </c>
      <c r="D85" s="150">
        <v>2</v>
      </c>
    </row>
    <row r="86" spans="1:4" ht="12.75">
      <c r="A86" s="216"/>
      <c r="B86" s="232" t="s">
        <v>678</v>
      </c>
      <c r="C86" s="217" t="s">
        <v>1104</v>
      </c>
      <c r="D86" s="150">
        <v>0.2</v>
      </c>
    </row>
    <row r="87" spans="1:4" ht="49.5">
      <c r="A87" s="216"/>
      <c r="B87" s="232" t="s">
        <v>680</v>
      </c>
      <c r="C87" s="217" t="s">
        <v>1105</v>
      </c>
      <c r="D87" s="150">
        <v>5290.9</v>
      </c>
    </row>
    <row r="88" spans="1:4" ht="49.5">
      <c r="A88" s="216"/>
      <c r="B88" s="151" t="s">
        <v>684</v>
      </c>
      <c r="C88" s="217" t="s">
        <v>1106</v>
      </c>
      <c r="D88" s="150">
        <v>7913</v>
      </c>
    </row>
    <row r="89" spans="1:4" ht="33">
      <c r="A89" s="216"/>
      <c r="B89" s="151" t="s">
        <v>688</v>
      </c>
      <c r="C89" s="217" t="s">
        <v>1107</v>
      </c>
      <c r="D89" s="150">
        <v>41592.7</v>
      </c>
    </row>
    <row r="90" spans="1:4" ht="49.5">
      <c r="A90" s="216"/>
      <c r="B90" s="151" t="s">
        <v>693</v>
      </c>
      <c r="C90" s="217" t="s">
        <v>1108</v>
      </c>
      <c r="D90" s="150">
        <v>5878.6</v>
      </c>
    </row>
    <row r="91" spans="1:4" ht="49.5">
      <c r="A91" s="216"/>
      <c r="B91" s="232" t="s">
        <v>698</v>
      </c>
      <c r="C91" s="217" t="s">
        <v>1109</v>
      </c>
      <c r="D91" s="150">
        <v>4209</v>
      </c>
    </row>
    <row r="92" spans="1:4" ht="82.5">
      <c r="A92" s="216"/>
      <c r="B92" s="151" t="s">
        <v>730</v>
      </c>
      <c r="C92" s="217" t="s">
        <v>1110</v>
      </c>
      <c r="D92" s="150">
        <v>67.4</v>
      </c>
    </row>
    <row r="93" spans="1:4" ht="66">
      <c r="A93" s="216"/>
      <c r="B93" s="232" t="s">
        <v>732</v>
      </c>
      <c r="C93" s="217" t="s">
        <v>1111</v>
      </c>
      <c r="D93" s="150">
        <v>15.4</v>
      </c>
    </row>
    <row r="94" spans="1:4" ht="82.5">
      <c r="A94" s="216"/>
      <c r="B94" s="232" t="s">
        <v>734</v>
      </c>
      <c r="C94" s="217" t="s">
        <v>1112</v>
      </c>
      <c r="D94" s="150">
        <v>24.6</v>
      </c>
    </row>
    <row r="95" spans="1:4" ht="41.45" customHeight="1">
      <c r="A95" s="218" t="s">
        <v>1113</v>
      </c>
      <c r="B95" s="254" t="s">
        <v>1114</v>
      </c>
      <c r="C95" s="254"/>
      <c r="D95" s="254"/>
    </row>
    <row r="96" spans="1:4" ht="82.5">
      <c r="A96" s="216"/>
      <c r="B96" s="232" t="s">
        <v>750</v>
      </c>
      <c r="C96" s="217" t="s">
        <v>1115</v>
      </c>
      <c r="D96" s="150">
        <v>2</v>
      </c>
    </row>
    <row r="97" spans="1:4" s="210" customFormat="1" ht="12.75">
      <c r="A97" s="218" t="s">
        <v>1116</v>
      </c>
      <c r="B97" s="299" t="s">
        <v>1117</v>
      </c>
      <c r="C97" s="299"/>
      <c r="D97" s="299"/>
    </row>
    <row r="98" spans="1:4" ht="66">
      <c r="A98" s="216"/>
      <c r="B98" s="232" t="s">
        <v>736</v>
      </c>
      <c r="C98" s="217" t="s">
        <v>1118</v>
      </c>
      <c r="D98" s="150">
        <v>151.4</v>
      </c>
    </row>
    <row r="99" spans="1:4" ht="33">
      <c r="A99" s="216"/>
      <c r="B99" s="232" t="s">
        <v>744</v>
      </c>
      <c r="C99" s="217" t="s">
        <v>1119</v>
      </c>
      <c r="D99" s="150">
        <v>43</v>
      </c>
    </row>
    <row r="100" spans="1:4" ht="82.5">
      <c r="A100" s="216"/>
      <c r="B100" s="232" t="s">
        <v>750</v>
      </c>
      <c r="C100" s="217" t="s">
        <v>1115</v>
      </c>
      <c r="D100" s="150">
        <v>18.5</v>
      </c>
    </row>
    <row r="101" spans="1:5" ht="49.5">
      <c r="A101" s="216"/>
      <c r="B101" s="232" t="s">
        <v>754</v>
      </c>
      <c r="C101" s="217" t="s">
        <v>1120</v>
      </c>
      <c r="D101" s="150">
        <v>1017.6</v>
      </c>
      <c r="E101" s="213"/>
    </row>
    <row r="102" spans="1:4" s="210" customFormat="1" ht="40.15" customHeight="1">
      <c r="A102" s="218" t="s">
        <v>1121</v>
      </c>
      <c r="B102" s="301" t="s">
        <v>1122</v>
      </c>
      <c r="C102" s="301"/>
      <c r="D102" s="301"/>
    </row>
    <row r="103" spans="1:5" ht="49.5">
      <c r="A103" s="149"/>
      <c r="B103" s="232" t="s">
        <v>754</v>
      </c>
      <c r="C103" s="217" t="s">
        <v>1123</v>
      </c>
      <c r="D103" s="150">
        <v>31.2</v>
      </c>
      <c r="E103" s="213"/>
    </row>
    <row r="104" spans="1:4" s="210" customFormat="1" ht="31.15" customHeight="1">
      <c r="A104" s="218" t="s">
        <v>1124</v>
      </c>
      <c r="B104" s="299" t="s">
        <v>1125</v>
      </c>
      <c r="C104" s="299"/>
      <c r="D104" s="299"/>
    </row>
    <row r="105" spans="1:5" ht="33">
      <c r="A105" s="216"/>
      <c r="B105" s="232" t="s">
        <v>740</v>
      </c>
      <c r="C105" s="217" t="s">
        <v>1126</v>
      </c>
      <c r="D105" s="150">
        <v>334.6</v>
      </c>
      <c r="E105" s="213"/>
    </row>
    <row r="106" ht="12.75">
      <c r="E106" s="213"/>
    </row>
  </sheetData>
  <mergeCells count="24">
    <mergeCell ref="B95:D95"/>
    <mergeCell ref="B97:D97"/>
    <mergeCell ref="B102:D102"/>
    <mergeCell ref="B104:D104"/>
    <mergeCell ref="B64:D64"/>
    <mergeCell ref="B69:D69"/>
    <mergeCell ref="B71:D71"/>
    <mergeCell ref="B76:D76"/>
    <mergeCell ref="B78:D78"/>
    <mergeCell ref="B80:D80"/>
    <mergeCell ref="B62:D62"/>
    <mergeCell ref="B1:D1"/>
    <mergeCell ref="B2:D2"/>
    <mergeCell ref="B3:D3"/>
    <mergeCell ref="A5:D5"/>
    <mergeCell ref="A7:A8"/>
    <mergeCell ref="B7:B8"/>
    <mergeCell ref="C7:C8"/>
    <mergeCell ref="D7:D8"/>
    <mergeCell ref="B9:D9"/>
    <mergeCell ref="B30:D30"/>
    <mergeCell ref="B33:D33"/>
    <mergeCell ref="B46:D46"/>
    <mergeCell ref="B51:D51"/>
  </mergeCells>
  <printOptions/>
  <pageMargins left="0.5905511811023623" right="0.1968503937007874" top="0.1968503937007874" bottom="0.1968503937007874" header="0.11811023622047245" footer="0.11811023622047245"/>
  <pageSetup fitToHeight="0"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C99"/>
  <sheetViews>
    <sheetView workbookViewId="0" topLeftCell="A1">
      <selection activeCell="E10" sqref="E10"/>
    </sheetView>
  </sheetViews>
  <sheetFormatPr defaultColWidth="9.125" defaultRowHeight="12.75"/>
  <cols>
    <col min="1" max="1" width="77.00390625" style="147" customWidth="1"/>
    <col min="2" max="2" width="23.875" style="147" customWidth="1"/>
    <col min="3" max="3" width="13.625" style="156" customWidth="1"/>
    <col min="4" max="4" width="11.625" style="147" bestFit="1" customWidth="1"/>
    <col min="5" max="5" width="10.25390625" style="147" bestFit="1" customWidth="1"/>
    <col min="6" max="16384" width="9.125" style="147" customWidth="1"/>
  </cols>
  <sheetData>
    <row r="1" spans="2:3" ht="12.75">
      <c r="B1" s="302" t="s">
        <v>1140</v>
      </c>
      <c r="C1" s="302"/>
    </row>
    <row r="2" spans="2:3" ht="12.75">
      <c r="B2" s="302" t="s">
        <v>1148</v>
      </c>
      <c r="C2" s="302"/>
    </row>
    <row r="3" spans="2:3" ht="12.75">
      <c r="B3" s="302" t="s">
        <v>1146</v>
      </c>
      <c r="C3" s="302"/>
    </row>
    <row r="5" spans="1:3" ht="56.25" customHeight="1">
      <c r="A5" s="257" t="s">
        <v>644</v>
      </c>
      <c r="B5" s="257"/>
      <c r="C5" s="257"/>
    </row>
    <row r="6" spans="1:3" ht="12.75">
      <c r="A6" s="148"/>
      <c r="B6" s="148"/>
      <c r="C6" s="148"/>
    </row>
    <row r="7" spans="1:3" ht="29.25" customHeight="1">
      <c r="A7" s="258" t="s">
        <v>645</v>
      </c>
      <c r="B7" s="258" t="s">
        <v>646</v>
      </c>
      <c r="C7" s="259" t="s">
        <v>647</v>
      </c>
    </row>
    <row r="8" spans="1:3" ht="67.5" customHeight="1">
      <c r="A8" s="258"/>
      <c r="B8" s="258"/>
      <c r="C8" s="259"/>
    </row>
    <row r="9" spans="1:3" ht="16.5" customHeight="1">
      <c r="A9" s="255" t="s">
        <v>648</v>
      </c>
      <c r="B9" s="149" t="s">
        <v>649</v>
      </c>
      <c r="C9" s="150">
        <v>136094.1</v>
      </c>
    </row>
    <row r="10" spans="1:3" ht="12.75">
      <c r="A10" s="255"/>
      <c r="B10" s="149" t="s">
        <v>650</v>
      </c>
      <c r="C10" s="150">
        <v>420.4</v>
      </c>
    </row>
    <row r="11" spans="1:3" ht="12.75">
      <c r="A11" s="255"/>
      <c r="B11" s="149" t="s">
        <v>651</v>
      </c>
      <c r="C11" s="150">
        <v>317.4</v>
      </c>
    </row>
    <row r="12" spans="1:3" ht="12.75">
      <c r="A12" s="255"/>
      <c r="B12" s="149" t="s">
        <v>652</v>
      </c>
      <c r="C12" s="150">
        <v>-0.6</v>
      </c>
    </row>
    <row r="13" spans="1:3" ht="12.75">
      <c r="A13" s="255"/>
      <c r="B13" s="149" t="s">
        <v>653</v>
      </c>
      <c r="C13" s="150">
        <v>-0.1</v>
      </c>
    </row>
    <row r="14" spans="1:3" ht="34.5" customHeight="1">
      <c r="A14" s="256" t="s">
        <v>654</v>
      </c>
      <c r="B14" s="149" t="s">
        <v>655</v>
      </c>
      <c r="C14" s="150">
        <v>563.8</v>
      </c>
    </row>
    <row r="15" spans="1:3" ht="34.5" customHeight="1">
      <c r="A15" s="256"/>
      <c r="B15" s="149" t="s">
        <v>656</v>
      </c>
      <c r="C15" s="150">
        <v>18.3</v>
      </c>
    </row>
    <row r="16" spans="1:3" ht="34.5" customHeight="1">
      <c r="A16" s="256"/>
      <c r="B16" s="149" t="s">
        <v>657</v>
      </c>
      <c r="C16" s="150">
        <v>2.7</v>
      </c>
    </row>
    <row r="17" spans="1:3" ht="16.5" customHeight="1">
      <c r="A17" s="256" t="s">
        <v>658</v>
      </c>
      <c r="B17" s="149" t="s">
        <v>659</v>
      </c>
      <c r="C17" s="150">
        <v>700.7</v>
      </c>
    </row>
    <row r="18" spans="1:3" ht="12.75">
      <c r="A18" s="256"/>
      <c r="B18" s="149" t="s">
        <v>660</v>
      </c>
      <c r="C18" s="150">
        <v>5.9</v>
      </c>
    </row>
    <row r="19" spans="1:3" ht="12.75">
      <c r="A19" s="256"/>
      <c r="B19" s="149" t="s">
        <v>661</v>
      </c>
      <c r="C19" s="150">
        <v>18.7</v>
      </c>
    </row>
    <row r="20" spans="1:3" ht="66">
      <c r="A20" s="151" t="s">
        <v>662</v>
      </c>
      <c r="B20" s="149" t="s">
        <v>663</v>
      </c>
      <c r="C20" s="150">
        <v>1018.4</v>
      </c>
    </row>
    <row r="21" spans="1:3" ht="82.5">
      <c r="A21" s="151" t="s">
        <v>664</v>
      </c>
      <c r="B21" s="149" t="s">
        <v>665</v>
      </c>
      <c r="C21" s="150">
        <v>15.5</v>
      </c>
    </row>
    <row r="22" spans="1:3" ht="66">
      <c r="A22" s="151" t="s">
        <v>666</v>
      </c>
      <c r="B22" s="149" t="s">
        <v>667</v>
      </c>
      <c r="C22" s="150">
        <v>2096</v>
      </c>
    </row>
    <row r="23" spans="1:3" ht="66">
      <c r="A23" s="151" t="s">
        <v>668</v>
      </c>
      <c r="B23" s="149" t="s">
        <v>669</v>
      </c>
      <c r="C23" s="150">
        <v>-150.8</v>
      </c>
    </row>
    <row r="24" spans="1:3" ht="12.75">
      <c r="A24" s="256" t="s">
        <v>670</v>
      </c>
      <c r="B24" s="149" t="s">
        <v>671</v>
      </c>
      <c r="C24" s="150">
        <v>32286.3</v>
      </c>
    </row>
    <row r="25" spans="1:3" ht="12.75">
      <c r="A25" s="256"/>
      <c r="B25" s="149" t="s">
        <v>672</v>
      </c>
      <c r="C25" s="150">
        <v>125</v>
      </c>
    </row>
    <row r="26" spans="1:3" ht="12.75">
      <c r="A26" s="256"/>
      <c r="B26" s="149" t="s">
        <v>673</v>
      </c>
      <c r="C26" s="150">
        <v>90.7</v>
      </c>
    </row>
    <row r="27" spans="1:3" ht="12.75">
      <c r="A27" s="256" t="s">
        <v>674</v>
      </c>
      <c r="B27" s="149" t="s">
        <v>675</v>
      </c>
      <c r="C27" s="150">
        <v>-20.9</v>
      </c>
    </row>
    <row r="28" spans="1:3" ht="12.75">
      <c r="A28" s="256"/>
      <c r="B28" s="149" t="s">
        <v>676</v>
      </c>
      <c r="C28" s="150">
        <v>21.5</v>
      </c>
    </row>
    <row r="29" spans="1:3" ht="12.75">
      <c r="A29" s="256"/>
      <c r="B29" s="149" t="s">
        <v>677</v>
      </c>
      <c r="C29" s="150">
        <v>1.4</v>
      </c>
    </row>
    <row r="30" spans="1:3" ht="12.75">
      <c r="A30" s="232" t="s">
        <v>678</v>
      </c>
      <c r="B30" s="149" t="s">
        <v>679</v>
      </c>
      <c r="C30" s="150">
        <v>0.2</v>
      </c>
    </row>
    <row r="31" spans="1:3" ht="33" customHeight="1">
      <c r="A31" s="255" t="s">
        <v>680</v>
      </c>
      <c r="B31" s="149" t="s">
        <v>681</v>
      </c>
      <c r="C31" s="150">
        <v>5292</v>
      </c>
    </row>
    <row r="32" spans="1:3" ht="12.75">
      <c r="A32" s="255"/>
      <c r="B32" s="149" t="s">
        <v>682</v>
      </c>
      <c r="C32" s="150">
        <v>1.4</v>
      </c>
    </row>
    <row r="33" spans="1:3" ht="12.75">
      <c r="A33" s="255"/>
      <c r="B33" s="149" t="s">
        <v>683</v>
      </c>
      <c r="C33" s="150">
        <v>-2.5</v>
      </c>
    </row>
    <row r="34" spans="1:3" ht="12.75">
      <c r="A34" s="256" t="s">
        <v>684</v>
      </c>
      <c r="B34" s="149" t="s">
        <v>685</v>
      </c>
      <c r="C34" s="150">
        <v>7847.1</v>
      </c>
    </row>
    <row r="35" spans="1:3" ht="12.75">
      <c r="A35" s="256"/>
      <c r="B35" s="149" t="s">
        <v>686</v>
      </c>
      <c r="C35" s="150">
        <v>63.2</v>
      </c>
    </row>
    <row r="36" spans="1:3" ht="12.75">
      <c r="A36" s="256"/>
      <c r="B36" s="149" t="s">
        <v>687</v>
      </c>
      <c r="C36" s="150">
        <v>2.7</v>
      </c>
    </row>
    <row r="37" spans="1:3" ht="16.5" customHeight="1">
      <c r="A37" s="255" t="s">
        <v>688</v>
      </c>
      <c r="B37" s="149" t="s">
        <v>689</v>
      </c>
      <c r="C37" s="150">
        <v>41330</v>
      </c>
    </row>
    <row r="38" spans="1:3" ht="12.75">
      <c r="A38" s="255"/>
      <c r="B38" s="149" t="s">
        <v>690</v>
      </c>
      <c r="C38" s="150">
        <v>196.6</v>
      </c>
    </row>
    <row r="39" spans="1:3" ht="12.75">
      <c r="A39" s="255"/>
      <c r="B39" s="149" t="s">
        <v>691</v>
      </c>
      <c r="C39" s="150">
        <v>14.2</v>
      </c>
    </row>
    <row r="40" spans="1:3" ht="12.75">
      <c r="A40" s="255"/>
      <c r="B40" s="149" t="s">
        <v>692</v>
      </c>
      <c r="C40" s="150">
        <v>51.9</v>
      </c>
    </row>
    <row r="41" spans="1:3" ht="12.75">
      <c r="A41" s="256" t="s">
        <v>693</v>
      </c>
      <c r="B41" s="149" t="s">
        <v>694</v>
      </c>
      <c r="C41" s="150">
        <v>5832.9</v>
      </c>
    </row>
    <row r="42" spans="1:3" ht="12.75">
      <c r="A42" s="256"/>
      <c r="B42" s="149" t="s">
        <v>695</v>
      </c>
      <c r="C42" s="150">
        <v>44.6</v>
      </c>
    </row>
    <row r="43" spans="1:3" ht="12.75">
      <c r="A43" s="256"/>
      <c r="B43" s="149" t="s">
        <v>696</v>
      </c>
      <c r="C43" s="150">
        <v>1.3</v>
      </c>
    </row>
    <row r="44" spans="1:3" ht="41.25" customHeight="1">
      <c r="A44" s="256"/>
      <c r="B44" s="149" t="s">
        <v>697</v>
      </c>
      <c r="C44" s="150">
        <v>-0.2</v>
      </c>
    </row>
    <row r="45" spans="1:3" ht="49.5">
      <c r="A45" s="232" t="s">
        <v>698</v>
      </c>
      <c r="B45" s="149" t="s">
        <v>699</v>
      </c>
      <c r="C45" s="150">
        <v>4209</v>
      </c>
    </row>
    <row r="46" spans="1:3" ht="33">
      <c r="A46" s="151" t="s">
        <v>700</v>
      </c>
      <c r="B46" s="149" t="s">
        <v>701</v>
      </c>
      <c r="C46" s="150">
        <v>50</v>
      </c>
    </row>
    <row r="47" spans="1:3" ht="82.5">
      <c r="A47" s="232" t="s">
        <v>702</v>
      </c>
      <c r="B47" s="149" t="s">
        <v>703</v>
      </c>
      <c r="C47" s="150">
        <v>20352.6</v>
      </c>
    </row>
    <row r="48" spans="1:3" ht="66">
      <c r="A48" s="152" t="s">
        <v>704</v>
      </c>
      <c r="B48" s="149" t="s">
        <v>705</v>
      </c>
      <c r="C48" s="150">
        <v>2909.6</v>
      </c>
    </row>
    <row r="49" spans="1:3" ht="33">
      <c r="A49" s="152" t="s">
        <v>706</v>
      </c>
      <c r="B49" s="149" t="s">
        <v>707</v>
      </c>
      <c r="C49" s="150">
        <v>19591.8</v>
      </c>
    </row>
    <row r="50" spans="1:3" ht="49.5">
      <c r="A50" s="151" t="s">
        <v>708</v>
      </c>
      <c r="B50" s="149" t="s">
        <v>709</v>
      </c>
      <c r="C50" s="150">
        <v>974.3</v>
      </c>
    </row>
    <row r="51" spans="1:3" ht="82.5">
      <c r="A51" s="232" t="s">
        <v>710</v>
      </c>
      <c r="B51" s="149" t="s">
        <v>711</v>
      </c>
      <c r="C51" s="150">
        <v>967.9</v>
      </c>
    </row>
    <row r="52" spans="1:3" ht="33">
      <c r="A52" s="232" t="s">
        <v>712</v>
      </c>
      <c r="B52" s="149" t="s">
        <v>713</v>
      </c>
      <c r="C52" s="150">
        <v>1108.7</v>
      </c>
    </row>
    <row r="53" spans="1:3" ht="33">
      <c r="A53" s="232" t="s">
        <v>714</v>
      </c>
      <c r="B53" s="149" t="s">
        <v>715</v>
      </c>
      <c r="C53" s="150">
        <v>8.2</v>
      </c>
    </row>
    <row r="54" spans="1:3" ht="12.75">
      <c r="A54" s="232" t="s">
        <v>716</v>
      </c>
      <c r="B54" s="149" t="s">
        <v>717</v>
      </c>
      <c r="C54" s="150">
        <v>728.7</v>
      </c>
    </row>
    <row r="55" spans="1:3" ht="12.75">
      <c r="A55" s="232" t="s">
        <v>718</v>
      </c>
      <c r="B55" s="149" t="s">
        <v>719</v>
      </c>
      <c r="C55" s="150">
        <v>96.7</v>
      </c>
    </row>
    <row r="56" spans="1:3" ht="33">
      <c r="A56" s="151" t="s">
        <v>720</v>
      </c>
      <c r="B56" s="149" t="s">
        <v>721</v>
      </c>
      <c r="C56" s="150">
        <v>1765</v>
      </c>
    </row>
    <row r="57" spans="1:3" ht="12.75">
      <c r="A57" s="232" t="s">
        <v>722</v>
      </c>
      <c r="B57" s="149" t="s">
        <v>723</v>
      </c>
      <c r="C57" s="150">
        <v>169.2</v>
      </c>
    </row>
    <row r="58" spans="1:3" ht="99">
      <c r="A58" s="232" t="s">
        <v>724</v>
      </c>
      <c r="B58" s="149" t="s">
        <v>725</v>
      </c>
      <c r="C58" s="150">
        <v>16418</v>
      </c>
    </row>
    <row r="59" spans="1:3" ht="82.5">
      <c r="A59" s="232" t="s">
        <v>726</v>
      </c>
      <c r="B59" s="149" t="s">
        <v>727</v>
      </c>
      <c r="C59" s="150">
        <v>10.5</v>
      </c>
    </row>
    <row r="60" spans="1:3" ht="49.5">
      <c r="A60" s="232" t="s">
        <v>728</v>
      </c>
      <c r="B60" s="149" t="s">
        <v>729</v>
      </c>
      <c r="C60" s="150">
        <v>2599.2</v>
      </c>
    </row>
    <row r="61" spans="1:3" ht="66">
      <c r="A61" s="151" t="s">
        <v>730</v>
      </c>
      <c r="B61" s="149" t="s">
        <v>731</v>
      </c>
      <c r="C61" s="150">
        <v>67.4</v>
      </c>
    </row>
    <row r="62" spans="1:3" ht="49.5">
      <c r="A62" s="232" t="s">
        <v>732</v>
      </c>
      <c r="B62" s="149" t="s">
        <v>733</v>
      </c>
      <c r="C62" s="150">
        <v>15.4</v>
      </c>
    </row>
    <row r="63" spans="1:3" ht="49.5">
      <c r="A63" s="232" t="s">
        <v>734</v>
      </c>
      <c r="B63" s="149" t="s">
        <v>735</v>
      </c>
      <c r="C63" s="150">
        <v>24.6</v>
      </c>
    </row>
    <row r="64" spans="1:3" ht="49.5">
      <c r="A64" s="232" t="s">
        <v>736</v>
      </c>
      <c r="B64" s="149" t="s">
        <v>737</v>
      </c>
      <c r="C64" s="150">
        <v>151.4</v>
      </c>
    </row>
    <row r="65" spans="1:3" ht="66">
      <c r="A65" s="232" t="s">
        <v>738</v>
      </c>
      <c r="B65" s="149" t="s">
        <v>739</v>
      </c>
      <c r="C65" s="150">
        <v>78.5</v>
      </c>
    </row>
    <row r="66" spans="1:3" ht="33">
      <c r="A66" s="232" t="s">
        <v>740</v>
      </c>
      <c r="B66" s="149" t="s">
        <v>741</v>
      </c>
      <c r="C66" s="150">
        <v>334.6</v>
      </c>
    </row>
    <row r="67" spans="1:3" ht="49.5">
      <c r="A67" s="232" t="s">
        <v>742</v>
      </c>
      <c r="B67" s="149" t="s">
        <v>743</v>
      </c>
      <c r="C67" s="150">
        <v>3825.3</v>
      </c>
    </row>
    <row r="68" spans="1:3" ht="33">
      <c r="A68" s="232" t="s">
        <v>744</v>
      </c>
      <c r="B68" s="149" t="s">
        <v>745</v>
      </c>
      <c r="C68" s="150">
        <v>43</v>
      </c>
    </row>
    <row r="69" spans="1:3" ht="66">
      <c r="A69" s="151" t="s">
        <v>746</v>
      </c>
      <c r="B69" s="149" t="s">
        <v>747</v>
      </c>
      <c r="C69" s="150">
        <v>57.4</v>
      </c>
    </row>
    <row r="70" spans="1:3" ht="66">
      <c r="A70" s="232" t="s">
        <v>748</v>
      </c>
      <c r="B70" s="149" t="s">
        <v>749</v>
      </c>
      <c r="C70" s="150">
        <v>124</v>
      </c>
    </row>
    <row r="71" spans="1:3" ht="66">
      <c r="A71" s="232" t="s">
        <v>750</v>
      </c>
      <c r="B71" s="149" t="s">
        <v>751</v>
      </c>
      <c r="C71" s="150">
        <v>20.5</v>
      </c>
    </row>
    <row r="72" spans="1:3" ht="49.5">
      <c r="A72" s="232" t="s">
        <v>752</v>
      </c>
      <c r="B72" s="149" t="s">
        <v>753</v>
      </c>
      <c r="C72" s="150">
        <v>114.5</v>
      </c>
    </row>
    <row r="73" spans="1:3" ht="33">
      <c r="A73" s="232" t="s">
        <v>754</v>
      </c>
      <c r="B73" s="149" t="s">
        <v>755</v>
      </c>
      <c r="C73" s="150">
        <v>3063.5</v>
      </c>
    </row>
    <row r="74" spans="1:3" ht="33">
      <c r="A74" s="232" t="s">
        <v>756</v>
      </c>
      <c r="B74" s="149" t="s">
        <v>757</v>
      </c>
      <c r="C74" s="150">
        <v>24862.3</v>
      </c>
    </row>
    <row r="75" spans="1:3" ht="33">
      <c r="A75" s="232" t="s">
        <v>758</v>
      </c>
      <c r="B75" s="149" t="s">
        <v>759</v>
      </c>
      <c r="C75" s="150">
        <v>418.9</v>
      </c>
    </row>
    <row r="76" spans="1:3" ht="33">
      <c r="A76" s="232" t="s">
        <v>760</v>
      </c>
      <c r="B76" s="149" t="s">
        <v>761</v>
      </c>
      <c r="C76" s="150">
        <v>1274.1</v>
      </c>
    </row>
    <row r="77" spans="1:3" ht="33">
      <c r="A77" s="232" t="s">
        <v>762</v>
      </c>
      <c r="B77" s="149" t="s">
        <v>763</v>
      </c>
      <c r="C77" s="150">
        <v>4227</v>
      </c>
    </row>
    <row r="78" spans="1:3" ht="33">
      <c r="A78" s="232" t="s">
        <v>764</v>
      </c>
      <c r="B78" s="149" t="s">
        <v>765</v>
      </c>
      <c r="C78" s="150">
        <v>195.2</v>
      </c>
    </row>
    <row r="79" spans="1:3" ht="12.75">
      <c r="A79" s="232" t="s">
        <v>766</v>
      </c>
      <c r="B79" s="149" t="s">
        <v>767</v>
      </c>
      <c r="C79" s="150">
        <v>477.6</v>
      </c>
    </row>
    <row r="80" spans="1:3" ht="12.75">
      <c r="A80" s="153" t="s">
        <v>573</v>
      </c>
      <c r="B80" s="149" t="s">
        <v>768</v>
      </c>
      <c r="C80" s="150">
        <v>3107.1</v>
      </c>
    </row>
    <row r="81" spans="1:3" ht="33">
      <c r="A81" s="232" t="s">
        <v>769</v>
      </c>
      <c r="B81" s="149" t="s">
        <v>770</v>
      </c>
      <c r="C81" s="150">
        <v>1206</v>
      </c>
    </row>
    <row r="82" spans="1:3" ht="49.5">
      <c r="A82" s="232" t="s">
        <v>771</v>
      </c>
      <c r="B82" s="149" t="s">
        <v>772</v>
      </c>
      <c r="C82" s="150">
        <v>42.8</v>
      </c>
    </row>
    <row r="83" spans="1:3" ht="66">
      <c r="A83" s="232" t="s">
        <v>773</v>
      </c>
      <c r="B83" s="149" t="s">
        <v>774</v>
      </c>
      <c r="C83" s="150">
        <v>7487.8</v>
      </c>
    </row>
    <row r="84" spans="1:3" ht="66">
      <c r="A84" s="232" t="s">
        <v>775</v>
      </c>
      <c r="B84" s="149" t="s">
        <v>776</v>
      </c>
      <c r="C84" s="150">
        <v>6864.9</v>
      </c>
    </row>
    <row r="85" spans="1:3" ht="33">
      <c r="A85" s="232" t="s">
        <v>777</v>
      </c>
      <c r="B85" s="149" t="s">
        <v>778</v>
      </c>
      <c r="C85" s="150">
        <v>1277.4</v>
      </c>
    </row>
    <row r="86" spans="1:3" ht="49.5">
      <c r="A86" s="154" t="s">
        <v>779</v>
      </c>
      <c r="B86" s="149" t="s">
        <v>780</v>
      </c>
      <c r="C86" s="150">
        <v>650</v>
      </c>
    </row>
    <row r="87" spans="1:3" ht="99">
      <c r="A87" s="154" t="s">
        <v>781</v>
      </c>
      <c r="B87" s="149" t="s">
        <v>782</v>
      </c>
      <c r="C87" s="150">
        <v>169112.6</v>
      </c>
    </row>
    <row r="88" spans="1:3" ht="66">
      <c r="A88" s="154" t="s">
        <v>783</v>
      </c>
      <c r="B88" s="149" t="s">
        <v>784</v>
      </c>
      <c r="C88" s="150">
        <v>264</v>
      </c>
    </row>
    <row r="89" spans="1:3" ht="99">
      <c r="A89" s="154" t="s">
        <v>785</v>
      </c>
      <c r="B89" s="149" t="s">
        <v>786</v>
      </c>
      <c r="C89" s="150">
        <v>250.9</v>
      </c>
    </row>
    <row r="90" spans="1:3" ht="49.5">
      <c r="A90" s="154" t="s">
        <v>787</v>
      </c>
      <c r="B90" s="149" t="s">
        <v>788</v>
      </c>
      <c r="C90" s="150">
        <v>86181.9</v>
      </c>
    </row>
    <row r="91" spans="1:3" ht="99">
      <c r="A91" s="154" t="s">
        <v>789</v>
      </c>
      <c r="B91" s="149" t="s">
        <v>790</v>
      </c>
      <c r="C91" s="150">
        <v>0.7</v>
      </c>
    </row>
    <row r="92" spans="1:3" ht="49.5">
      <c r="A92" s="154" t="s">
        <v>791</v>
      </c>
      <c r="B92" s="149" t="s">
        <v>792</v>
      </c>
      <c r="C92" s="150">
        <v>14.1</v>
      </c>
    </row>
    <row r="93" spans="1:3" ht="49.5">
      <c r="A93" s="154" t="s">
        <v>793</v>
      </c>
      <c r="B93" s="149" t="s">
        <v>794</v>
      </c>
      <c r="C93" s="150">
        <v>100</v>
      </c>
    </row>
    <row r="94" spans="1:3" ht="33">
      <c r="A94" s="154" t="s">
        <v>795</v>
      </c>
      <c r="B94" s="149" t="s">
        <v>796</v>
      </c>
      <c r="C94" s="150">
        <v>811.1</v>
      </c>
    </row>
    <row r="95" spans="1:3" ht="66">
      <c r="A95" s="154" t="s">
        <v>797</v>
      </c>
      <c r="B95" s="149" t="s">
        <v>798</v>
      </c>
      <c r="C95" s="150">
        <v>600</v>
      </c>
    </row>
    <row r="96" spans="1:3" ht="12.75">
      <c r="A96" s="232" t="s">
        <v>799</v>
      </c>
      <c r="B96" s="149" t="s">
        <v>800</v>
      </c>
      <c r="C96" s="150">
        <v>2500</v>
      </c>
    </row>
    <row r="97" spans="1:3" ht="33">
      <c r="A97" s="232" t="s">
        <v>801</v>
      </c>
      <c r="B97" s="149" t="s">
        <v>802</v>
      </c>
      <c r="C97" s="150">
        <v>0.4</v>
      </c>
    </row>
    <row r="98" spans="1:3" ht="49.5">
      <c r="A98" s="232" t="s">
        <v>803</v>
      </c>
      <c r="B98" s="149" t="s">
        <v>804</v>
      </c>
      <c r="C98" s="150">
        <v>-6100.6</v>
      </c>
    </row>
    <row r="99" spans="1:3" ht="12.75">
      <c r="A99" s="260"/>
      <c r="B99" s="260"/>
      <c r="C99" s="155">
        <f>SUM(C9:C98)</f>
        <v>620005.5000000001</v>
      </c>
    </row>
  </sheetData>
  <mergeCells count="17">
    <mergeCell ref="A34:A36"/>
    <mergeCell ref="A37:A40"/>
    <mergeCell ref="A41:A44"/>
    <mergeCell ref="A99:B99"/>
    <mergeCell ref="A31:A33"/>
    <mergeCell ref="B1:C1"/>
    <mergeCell ref="B2:C2"/>
    <mergeCell ref="B3:C3"/>
    <mergeCell ref="A5:C5"/>
    <mergeCell ref="A7:A8"/>
    <mergeCell ref="B7:B8"/>
    <mergeCell ref="C7:C8"/>
    <mergeCell ref="A9:A13"/>
    <mergeCell ref="A14:A16"/>
    <mergeCell ref="A17:A19"/>
    <mergeCell ref="A24:A26"/>
    <mergeCell ref="A27:A29"/>
  </mergeCells>
  <printOptions/>
  <pageMargins left="0.5905511811023623" right="0.1968503937007874" top="0.1968503937007874" bottom="0.1968503937007874" header="0.5118110236220472" footer="0.5118110236220472"/>
  <pageSetup fitToHeight="0"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D52"/>
  <sheetViews>
    <sheetView zoomScaleSheetLayoutView="100" workbookViewId="0" topLeftCell="A1">
      <selection activeCell="F15" sqref="F15"/>
    </sheetView>
  </sheetViews>
  <sheetFormatPr defaultColWidth="9.125" defaultRowHeight="12.75"/>
  <cols>
    <col min="1" max="1" width="7.25390625" style="15" customWidth="1"/>
    <col min="2" max="2" width="77.875" style="2" customWidth="1"/>
    <col min="3" max="3" width="13.75390625" style="27" customWidth="1"/>
    <col min="4" max="4" width="13.625" style="2" customWidth="1"/>
    <col min="5" max="16384" width="9.125" style="2" customWidth="1"/>
  </cols>
  <sheetData>
    <row r="1" spans="1:4" ht="12.75">
      <c r="A1" s="263" t="s">
        <v>474</v>
      </c>
      <c r="B1" s="263"/>
      <c r="C1" s="263"/>
      <c r="D1" s="263"/>
    </row>
    <row r="2" spans="1:4" ht="12.75">
      <c r="A2" s="263" t="s">
        <v>1145</v>
      </c>
      <c r="B2" s="263"/>
      <c r="C2" s="263"/>
      <c r="D2" s="263"/>
    </row>
    <row r="3" spans="1:4" ht="12.75">
      <c r="A3" s="263" t="s">
        <v>1146</v>
      </c>
      <c r="B3" s="263"/>
      <c r="C3" s="263"/>
      <c r="D3" s="263"/>
    </row>
    <row r="4" spans="1:4" ht="12.75">
      <c r="A4" s="261" t="s">
        <v>28</v>
      </c>
      <c r="B4" s="261"/>
      <c r="C4" s="261"/>
      <c r="D4" s="261"/>
    </row>
    <row r="5" spans="1:4" ht="12.75">
      <c r="A5" s="261" t="s">
        <v>0</v>
      </c>
      <c r="B5" s="261"/>
      <c r="C5" s="261"/>
      <c r="D5" s="261"/>
    </row>
    <row r="6" spans="1:4" ht="16.9" customHeight="1">
      <c r="A6" s="262" t="s">
        <v>578</v>
      </c>
      <c r="B6" s="262"/>
      <c r="C6" s="262"/>
      <c r="D6" s="262"/>
    </row>
    <row r="7" spans="1:4" ht="12.75">
      <c r="A7" s="49"/>
      <c r="B7" s="49"/>
      <c r="C7" s="50"/>
      <c r="D7" s="111" t="s">
        <v>641</v>
      </c>
    </row>
    <row r="8" spans="1:4" ht="49.5">
      <c r="A8" s="4" t="s">
        <v>72</v>
      </c>
      <c r="B8" s="4" t="s">
        <v>36</v>
      </c>
      <c r="C8" s="233" t="s">
        <v>575</v>
      </c>
      <c r="D8" s="16" t="s">
        <v>576</v>
      </c>
    </row>
    <row r="9" spans="1:4" ht="12.75">
      <c r="A9" s="4">
        <v>1</v>
      </c>
      <c r="B9" s="6">
        <v>2</v>
      </c>
      <c r="C9" s="5">
        <v>3</v>
      </c>
      <c r="D9" s="112">
        <v>4</v>
      </c>
    </row>
    <row r="10" spans="1:4" ht="12.75">
      <c r="A10" s="4"/>
      <c r="B10" s="23" t="s">
        <v>96</v>
      </c>
      <c r="C10" s="29">
        <f>C11+C19+C22+C27+C31+C36+C38+C42+C45+C47</f>
        <v>657743.9</v>
      </c>
      <c r="D10" s="29">
        <f>D11+D19+D22+D27+D31+D36+D38+D42+D45+D47</f>
        <v>648453.4999999999</v>
      </c>
    </row>
    <row r="11" spans="1:4" ht="12.75">
      <c r="A11" s="7" t="s">
        <v>92</v>
      </c>
      <c r="B11" s="8" t="s">
        <v>38</v>
      </c>
      <c r="C11" s="29">
        <f>SUM(C12:C18)</f>
        <v>67381.1</v>
      </c>
      <c r="D11" s="29">
        <f>SUM(D12:D18)</f>
        <v>65249.4</v>
      </c>
    </row>
    <row r="12" spans="1:4" ht="34.5" customHeight="1">
      <c r="A12" s="9" t="s">
        <v>79</v>
      </c>
      <c r="B12" s="10" t="s">
        <v>97</v>
      </c>
      <c r="C12" s="28">
        <f>'№9 (Р,П,Ц)'!E11</f>
        <v>1757</v>
      </c>
      <c r="D12" s="28">
        <f>'№9 (Р,П,Ц)'!F11</f>
        <v>1604.4</v>
      </c>
    </row>
    <row r="13" spans="1:4" ht="49.5">
      <c r="A13" s="9" t="s">
        <v>80</v>
      </c>
      <c r="B13" s="10" t="s">
        <v>56</v>
      </c>
      <c r="C13" s="28">
        <f>'№9 (Р,П,Ц)'!E16</f>
        <v>4003.7999999999997</v>
      </c>
      <c r="D13" s="28">
        <f>'№9 (Р,П,Ц)'!F16</f>
        <v>3981.2</v>
      </c>
    </row>
    <row r="14" spans="1:4" ht="51.75" customHeight="1">
      <c r="A14" s="9" t="s">
        <v>81</v>
      </c>
      <c r="B14" s="10" t="s">
        <v>57</v>
      </c>
      <c r="C14" s="28">
        <f>'№9 (Р,П,Ц)'!E25</f>
        <v>36509.8</v>
      </c>
      <c r="D14" s="28">
        <f>'№9 (Р,П,Ц)'!F25</f>
        <v>36421.2</v>
      </c>
    </row>
    <row r="15" spans="1:4" ht="12.75">
      <c r="A15" s="9" t="s">
        <v>1</v>
      </c>
      <c r="B15" s="10" t="s">
        <v>2</v>
      </c>
      <c r="C15" s="28">
        <f>'№9 (Р,П,Ц)'!E37</f>
        <v>42.8</v>
      </c>
      <c r="D15" s="28">
        <f>'№9 (Р,П,Ц)'!F37</f>
        <v>0</v>
      </c>
    </row>
    <row r="16" spans="1:4" ht="36" customHeight="1">
      <c r="A16" s="9" t="s">
        <v>82</v>
      </c>
      <c r="B16" s="10" t="s">
        <v>22</v>
      </c>
      <c r="C16" s="28">
        <f>'№9 (Р,П,Ц)'!E42</f>
        <v>10781.2</v>
      </c>
      <c r="D16" s="28">
        <f>'№9 (Р,П,Ц)'!F42</f>
        <v>10776.4</v>
      </c>
    </row>
    <row r="17" spans="1:4" ht="20.45" customHeight="1">
      <c r="A17" s="9" t="s">
        <v>83</v>
      </c>
      <c r="B17" s="10" t="s">
        <v>23</v>
      </c>
      <c r="C17" s="28">
        <f>'№9 (Р,П,Ц)'!E49</f>
        <v>1000</v>
      </c>
      <c r="D17" s="28">
        <f>'№9 (Р,П,Ц)'!F49</f>
        <v>0</v>
      </c>
    </row>
    <row r="18" spans="1:4" ht="21" customHeight="1">
      <c r="A18" s="9" t="s">
        <v>98</v>
      </c>
      <c r="B18" s="10" t="s">
        <v>58</v>
      </c>
      <c r="C18" s="28">
        <f>'№9 (Р,П,Ц)'!E54</f>
        <v>13286.5</v>
      </c>
      <c r="D18" s="28">
        <f>'№9 (Р,П,Ц)'!F54</f>
        <v>12466.200000000003</v>
      </c>
    </row>
    <row r="19" spans="1:4" ht="19.5" customHeight="1">
      <c r="A19" s="7" t="s">
        <v>93</v>
      </c>
      <c r="B19" s="8" t="s">
        <v>59</v>
      </c>
      <c r="C19" s="29">
        <f>SUM(C20:C21)</f>
        <v>7768.2</v>
      </c>
      <c r="D19" s="29">
        <f>SUM(D20:D21)</f>
        <v>7768</v>
      </c>
    </row>
    <row r="20" spans="1:4" ht="19.15" customHeight="1">
      <c r="A20" s="9" t="s">
        <v>115</v>
      </c>
      <c r="B20" s="10" t="s">
        <v>116</v>
      </c>
      <c r="C20" s="28">
        <f>'№9 (Р,П,Ц)'!E104</f>
        <v>1361.3</v>
      </c>
      <c r="D20" s="28">
        <f>'№9 (Р,П,Ц)'!F104</f>
        <v>1361.1</v>
      </c>
    </row>
    <row r="21" spans="1:4" ht="37.5" customHeight="1">
      <c r="A21" s="9" t="s">
        <v>84</v>
      </c>
      <c r="B21" s="10" t="s">
        <v>32</v>
      </c>
      <c r="C21" s="28">
        <f>'№9 (Р,П,Ц)'!E112</f>
        <v>6406.9</v>
      </c>
      <c r="D21" s="28">
        <f>'№9 (Р,П,Ц)'!F112</f>
        <v>6406.9</v>
      </c>
    </row>
    <row r="22" spans="1:4" ht="12.75">
      <c r="A22" s="7" t="s">
        <v>94</v>
      </c>
      <c r="B22" s="8" t="s">
        <v>60</v>
      </c>
      <c r="C22" s="29">
        <f>SUM(C23:C26)</f>
        <v>50000.4</v>
      </c>
      <c r="D22" s="29">
        <f>SUM(D23:D26)</f>
        <v>49774.4</v>
      </c>
    </row>
    <row r="23" spans="1:4" ht="12.75">
      <c r="A23" s="9" t="s">
        <v>211</v>
      </c>
      <c r="B23" s="26" t="s">
        <v>212</v>
      </c>
      <c r="C23" s="28">
        <f>'№9 (Р,П,Ц)'!E118</f>
        <v>250.9</v>
      </c>
      <c r="D23" s="28">
        <f>'№9 (Р,П,Ц)'!F118</f>
        <v>250.9</v>
      </c>
    </row>
    <row r="24" spans="1:4" ht="12.75">
      <c r="A24" s="9" t="s">
        <v>461</v>
      </c>
      <c r="B24" s="26" t="s">
        <v>462</v>
      </c>
      <c r="C24" s="28">
        <f>'№9 (Р,П,Ц)'!E123</f>
        <v>24</v>
      </c>
      <c r="D24" s="28">
        <f>'№9 (Р,П,Ц)'!F123</f>
        <v>24</v>
      </c>
    </row>
    <row r="25" spans="1:4" ht="12.75">
      <c r="A25" s="9" t="s">
        <v>19</v>
      </c>
      <c r="B25" s="26" t="s">
        <v>20</v>
      </c>
      <c r="C25" s="28">
        <f>'№9 (Р,П,Ц)'!E128</f>
        <v>49130.6</v>
      </c>
      <c r="D25" s="28">
        <f>'№9 (Р,П,Ц)'!F128</f>
        <v>48938.1</v>
      </c>
    </row>
    <row r="26" spans="1:4" ht="12.75">
      <c r="A26" s="9" t="s">
        <v>85</v>
      </c>
      <c r="B26" s="10" t="s">
        <v>61</v>
      </c>
      <c r="C26" s="28">
        <f>'№9 (Р,П,Ц)'!E148</f>
        <v>594.9</v>
      </c>
      <c r="D26" s="28">
        <f>'№9 (Р,П,Ц)'!F148</f>
        <v>561.4</v>
      </c>
    </row>
    <row r="27" spans="1:4" ht="12.75">
      <c r="A27" s="7" t="s">
        <v>95</v>
      </c>
      <c r="B27" s="8" t="s">
        <v>62</v>
      </c>
      <c r="C27" s="29">
        <f>SUM(C28:C30)</f>
        <v>26665.4</v>
      </c>
      <c r="D27" s="29">
        <f>SUM(D28:D30)</f>
        <v>20195.7</v>
      </c>
    </row>
    <row r="28" spans="1:4" ht="12.75">
      <c r="A28" s="9" t="s">
        <v>17</v>
      </c>
      <c r="B28" s="30" t="s">
        <v>18</v>
      </c>
      <c r="C28" s="28">
        <f>'№9 (Р,П,Ц)'!E167</f>
        <v>2102.7</v>
      </c>
      <c r="D28" s="28">
        <f>'№9 (Р,П,Ц)'!F167</f>
        <v>2052.2</v>
      </c>
    </row>
    <row r="29" spans="1:4" ht="12.75">
      <c r="A29" s="9" t="s">
        <v>86</v>
      </c>
      <c r="B29" s="11" t="s">
        <v>63</v>
      </c>
      <c r="C29" s="28">
        <f>'№9 (Р,П,Ц)'!E174</f>
        <v>6869.900000000001</v>
      </c>
      <c r="D29" s="28">
        <f>'№9 (Р,П,Ц)'!F174</f>
        <v>1150</v>
      </c>
    </row>
    <row r="30" spans="1:4" ht="12.75">
      <c r="A30" s="9" t="s">
        <v>87</v>
      </c>
      <c r="B30" s="10" t="s">
        <v>64</v>
      </c>
      <c r="C30" s="28">
        <f>'№9 (Р,П,Ц)'!E183</f>
        <v>17692.8</v>
      </c>
      <c r="D30" s="28">
        <f>'№9 (Р,П,Ц)'!F183</f>
        <v>16993.5</v>
      </c>
    </row>
    <row r="31" spans="1:4" ht="12.75">
      <c r="A31" s="7" t="s">
        <v>73</v>
      </c>
      <c r="B31" s="8" t="s">
        <v>65</v>
      </c>
      <c r="C31" s="29">
        <f>SUM(C32:C35)</f>
        <v>447071.4</v>
      </c>
      <c r="D31" s="29">
        <f>SUM(D32:D35)</f>
        <v>446811.29999999993</v>
      </c>
    </row>
    <row r="32" spans="1:4" ht="12.75">
      <c r="A32" s="9" t="s">
        <v>88</v>
      </c>
      <c r="B32" s="10" t="s">
        <v>26</v>
      </c>
      <c r="C32" s="28">
        <f>'№9 (Р,П,Ц)'!E203</f>
        <v>159655.4</v>
      </c>
      <c r="D32" s="28">
        <f>'№9 (Р,П,Ц)'!F203</f>
        <v>159655.4</v>
      </c>
    </row>
    <row r="33" spans="1:4" ht="12.75">
      <c r="A33" s="9" t="s">
        <v>89</v>
      </c>
      <c r="B33" s="10" t="s">
        <v>27</v>
      </c>
      <c r="C33" s="28">
        <f>'№9 (Р,П,Ц)'!E218</f>
        <v>263471.30000000005</v>
      </c>
      <c r="D33" s="28">
        <f>'№9 (Р,П,Ц)'!F218</f>
        <v>263471.3</v>
      </c>
    </row>
    <row r="34" spans="1:4" ht="12.75">
      <c r="A34" s="12" t="s">
        <v>74</v>
      </c>
      <c r="B34" s="10" t="s">
        <v>642</v>
      </c>
      <c r="C34" s="28">
        <f>'№9 (Р,П,Ц)'!E263</f>
        <v>9329.100000000002</v>
      </c>
      <c r="D34" s="28">
        <f>'№9 (Р,П,Ц)'!F263</f>
        <v>9069.1</v>
      </c>
    </row>
    <row r="35" spans="1:4" ht="12.75">
      <c r="A35" s="9" t="s">
        <v>90</v>
      </c>
      <c r="B35" s="10" t="s">
        <v>29</v>
      </c>
      <c r="C35" s="28">
        <f>'№9 (Р,П,Ц)'!E293</f>
        <v>14615.6</v>
      </c>
      <c r="D35" s="28">
        <f>'№9 (Р,П,Ц)'!F293</f>
        <v>14615.5</v>
      </c>
    </row>
    <row r="36" spans="1:4" ht="12.75">
      <c r="A36" s="13" t="s">
        <v>77</v>
      </c>
      <c r="B36" s="8" t="s">
        <v>124</v>
      </c>
      <c r="C36" s="29">
        <f>SUM(C37:C37)</f>
        <v>23094.1</v>
      </c>
      <c r="D36" s="29">
        <f>SUM(D37:D37)</f>
        <v>22992.5</v>
      </c>
    </row>
    <row r="37" spans="1:4" ht="12.75">
      <c r="A37" s="12" t="s">
        <v>78</v>
      </c>
      <c r="B37" s="10" t="s">
        <v>30</v>
      </c>
      <c r="C37" s="28">
        <f>'№9 (Р,П,Ц)'!E308</f>
        <v>23094.1</v>
      </c>
      <c r="D37" s="28">
        <f>'№9 (Р,П,Ц)'!F308</f>
        <v>22992.5</v>
      </c>
    </row>
    <row r="38" spans="1:4" ht="12.75">
      <c r="A38" s="7" t="s">
        <v>75</v>
      </c>
      <c r="B38" s="8" t="s">
        <v>67</v>
      </c>
      <c r="C38" s="29">
        <f>SUM(C39:C41)</f>
        <v>19784.5</v>
      </c>
      <c r="D38" s="29">
        <f>SUM(D39:D41)</f>
        <v>19686.6</v>
      </c>
    </row>
    <row r="39" spans="1:4" ht="12.75">
      <c r="A39" s="12" t="s">
        <v>91</v>
      </c>
      <c r="B39" s="10" t="s">
        <v>68</v>
      </c>
      <c r="C39" s="28">
        <f>'№9 (Р,П,Ц)'!E334</f>
        <v>1410.8000000000002</v>
      </c>
      <c r="D39" s="28">
        <f>'№9 (Р,П,Ц)'!F334</f>
        <v>1410.8</v>
      </c>
    </row>
    <row r="40" spans="1:4" ht="12.75">
      <c r="A40" s="12" t="s">
        <v>76</v>
      </c>
      <c r="B40" s="10" t="s">
        <v>70</v>
      </c>
      <c r="C40" s="28">
        <f>'№9 (Р,П,Ц)'!E339</f>
        <v>4021</v>
      </c>
      <c r="D40" s="28">
        <f>'№9 (Р,П,Ц)'!F339</f>
        <v>4017.2</v>
      </c>
    </row>
    <row r="41" spans="1:4" ht="12.75">
      <c r="A41" s="12" t="s">
        <v>144</v>
      </c>
      <c r="B41" s="10" t="s">
        <v>145</v>
      </c>
      <c r="C41" s="28">
        <f>'№9 (Р,П,Ц)'!E358</f>
        <v>14352.7</v>
      </c>
      <c r="D41" s="28">
        <f>'№9 (Р,П,Ц)'!F358</f>
        <v>14258.6</v>
      </c>
    </row>
    <row r="42" spans="1:4" ht="12.75">
      <c r="A42" s="7" t="s">
        <v>99</v>
      </c>
      <c r="B42" s="8" t="s">
        <v>66</v>
      </c>
      <c r="C42" s="29">
        <f>SUM(C43:C44)</f>
        <v>13234.8</v>
      </c>
      <c r="D42" s="29">
        <f>SUM(D43:D44)</f>
        <v>13232.8</v>
      </c>
    </row>
    <row r="43" spans="1:4" ht="12.75">
      <c r="A43" s="25">
        <v>1102</v>
      </c>
      <c r="B43" s="26" t="s">
        <v>100</v>
      </c>
      <c r="C43" s="28">
        <f>'№9 (Р,П,Ц)'!E369</f>
        <v>10915.1</v>
      </c>
      <c r="D43" s="28">
        <f>'№9 (Р,П,Ц)'!F369</f>
        <v>10915.1</v>
      </c>
    </row>
    <row r="44" spans="1:4" ht="23.25" customHeight="1">
      <c r="A44" s="25">
        <v>1105</v>
      </c>
      <c r="B44" s="35" t="s">
        <v>3</v>
      </c>
      <c r="C44" s="28">
        <f>'№9 (Р,П,Ц)'!E380</f>
        <v>2319.7</v>
      </c>
      <c r="D44" s="28">
        <f>'№9 (Р,П,Ц)'!F380</f>
        <v>2317.7</v>
      </c>
    </row>
    <row r="45" spans="1:4" ht="12.75">
      <c r="A45" s="7">
        <v>1200</v>
      </c>
      <c r="B45" s="8" t="s">
        <v>101</v>
      </c>
      <c r="C45" s="29">
        <f>SUM(C46:C46)</f>
        <v>2505.6</v>
      </c>
      <c r="D45" s="29">
        <f>SUM(D46:D46)</f>
        <v>2505.6</v>
      </c>
    </row>
    <row r="46" spans="1:4" ht="20.25" customHeight="1">
      <c r="A46" s="25">
        <v>1204</v>
      </c>
      <c r="B46" s="10" t="s">
        <v>104</v>
      </c>
      <c r="C46" s="28">
        <f>'№9 (Р,П,Ц)'!E388</f>
        <v>2505.6</v>
      </c>
      <c r="D46" s="28">
        <f>'№9 (Р,П,Ц)'!F388</f>
        <v>2505.6</v>
      </c>
    </row>
    <row r="47" spans="1:4" ht="12.75">
      <c r="A47" s="7" t="s">
        <v>512</v>
      </c>
      <c r="B47" s="8" t="s">
        <v>513</v>
      </c>
      <c r="C47" s="29">
        <f>C48</f>
        <v>238.40000000000003</v>
      </c>
      <c r="D47" s="29">
        <f>D48</f>
        <v>237.2</v>
      </c>
    </row>
    <row r="48" spans="1:4" ht="12.75">
      <c r="A48" s="25">
        <v>1301</v>
      </c>
      <c r="B48" s="10" t="s">
        <v>515</v>
      </c>
      <c r="C48" s="28">
        <f>'№9 (Р,П,Ц)'!E399</f>
        <v>238.40000000000003</v>
      </c>
      <c r="D48" s="28">
        <f>'№9 (Р,П,Ц)'!F399</f>
        <v>237.2</v>
      </c>
    </row>
    <row r="52" ht="12.75">
      <c r="B52" s="14"/>
    </row>
  </sheetData>
  <mergeCells count="6">
    <mergeCell ref="A4:D4"/>
    <mergeCell ref="A5:D5"/>
    <mergeCell ref="A6:D6"/>
    <mergeCell ref="A1:D1"/>
    <mergeCell ref="A2:D2"/>
    <mergeCell ref="A3:D3"/>
  </mergeCells>
  <printOptions/>
  <pageMargins left="0.5905511811023623" right="0.1968503937007874" top="0.1968503937007874" bottom="0.1968503937007874" header="0.5118110236220472" footer="0.5118110236220472"/>
  <pageSetup fitToHeight="0"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G501"/>
  <sheetViews>
    <sheetView zoomScale="95" zoomScaleNormal="95" workbookViewId="0" topLeftCell="A1">
      <selection activeCell="E16" sqref="E16"/>
    </sheetView>
  </sheetViews>
  <sheetFormatPr defaultColWidth="9.125" defaultRowHeight="12.75"/>
  <cols>
    <col min="1" max="1" width="7.00390625" style="69" customWidth="1"/>
    <col min="2" max="2" width="7.125" style="69" customWidth="1"/>
    <col min="3" max="3" width="14.625" style="69" customWidth="1"/>
    <col min="4" max="4" width="6.75390625" style="92" customWidth="1"/>
    <col min="5" max="5" width="76.75390625" style="57" customWidth="1"/>
    <col min="6" max="6" width="14.375" style="59" customWidth="1"/>
    <col min="7" max="7" width="13.00390625" style="230" customWidth="1"/>
    <col min="8" max="16384" width="9.125" style="43" customWidth="1"/>
  </cols>
  <sheetData>
    <row r="1" spans="2:7" ht="12.75">
      <c r="B1" s="70"/>
      <c r="C1" s="70"/>
      <c r="D1" s="108"/>
      <c r="E1" s="265" t="s">
        <v>580</v>
      </c>
      <c r="F1" s="265"/>
      <c r="G1" s="265"/>
    </row>
    <row r="2" spans="2:7" ht="16.9" customHeight="1">
      <c r="B2" s="70"/>
      <c r="C2" s="266" t="s">
        <v>1145</v>
      </c>
      <c r="D2" s="266"/>
      <c r="E2" s="266"/>
      <c r="F2" s="266"/>
      <c r="G2" s="266"/>
    </row>
    <row r="3" spans="2:7" ht="16.9" customHeight="1">
      <c r="B3" s="267" t="s">
        <v>1146</v>
      </c>
      <c r="C3" s="267"/>
      <c r="D3" s="267"/>
      <c r="E3" s="267"/>
      <c r="F3" s="267"/>
      <c r="G3" s="267"/>
    </row>
    <row r="4" spans="1:7" s="57" customFormat="1" ht="26.45" customHeight="1">
      <c r="A4" s="264" t="s">
        <v>579</v>
      </c>
      <c r="B4" s="264"/>
      <c r="C4" s="264"/>
      <c r="D4" s="264"/>
      <c r="E4" s="264"/>
      <c r="F4" s="264"/>
      <c r="G4" s="264"/>
    </row>
    <row r="5" spans="1:7" ht="24.6" customHeight="1">
      <c r="A5" s="71"/>
      <c r="B5" s="71"/>
      <c r="C5" s="71"/>
      <c r="D5" s="72"/>
      <c r="E5" s="72"/>
      <c r="F5" s="77"/>
      <c r="G5" s="230" t="s">
        <v>641</v>
      </c>
    </row>
    <row r="6" spans="1:7" ht="49.5">
      <c r="A6" s="67" t="s">
        <v>33</v>
      </c>
      <c r="B6" s="67" t="s">
        <v>72</v>
      </c>
      <c r="C6" s="67" t="s">
        <v>34</v>
      </c>
      <c r="D6" s="41" t="s">
        <v>35</v>
      </c>
      <c r="E6" s="16" t="s">
        <v>36</v>
      </c>
      <c r="F6" s="144" t="s">
        <v>575</v>
      </c>
      <c r="G6" s="16" t="s">
        <v>576</v>
      </c>
    </row>
    <row r="7" spans="1:7" ht="12.75">
      <c r="A7" s="12">
        <v>1</v>
      </c>
      <c r="B7" s="12">
        <v>2</v>
      </c>
      <c r="C7" s="12">
        <v>3</v>
      </c>
      <c r="D7" s="16">
        <v>4</v>
      </c>
      <c r="E7" s="16">
        <v>5</v>
      </c>
      <c r="F7" s="53">
        <v>6</v>
      </c>
      <c r="G7" s="53">
        <v>7</v>
      </c>
    </row>
    <row r="8" spans="1:7" s="56" customFormat="1" ht="12.75">
      <c r="A8" s="13"/>
      <c r="B8" s="13"/>
      <c r="C8" s="13"/>
      <c r="D8" s="65"/>
      <c r="E8" s="55" t="s">
        <v>4</v>
      </c>
      <c r="F8" s="52">
        <f>F9+F253+F285+F330+F341+F414</f>
        <v>657743.9</v>
      </c>
      <c r="G8" s="52">
        <f>G9+G253+G285+G330+G341+G414</f>
        <v>648453.5</v>
      </c>
    </row>
    <row r="9" spans="1:7" ht="12.75">
      <c r="A9" s="33" t="s">
        <v>37</v>
      </c>
      <c r="B9" s="33"/>
      <c r="C9" s="33"/>
      <c r="D9" s="33"/>
      <c r="E9" s="34" t="s">
        <v>125</v>
      </c>
      <c r="F9" s="52">
        <f>F10+F71+F87+F142+F175+F190+F219+F240</f>
        <v>168783.7</v>
      </c>
      <c r="G9" s="52">
        <f>G10+G71+G87+G142+G175+G190+G219+G240</f>
        <v>160704.9</v>
      </c>
    </row>
    <row r="10" spans="1:7" ht="12.75">
      <c r="A10" s="32" t="s">
        <v>37</v>
      </c>
      <c r="B10" s="32" t="s">
        <v>92</v>
      </c>
      <c r="C10" s="32"/>
      <c r="D10" s="32"/>
      <c r="E10" s="30" t="s">
        <v>38</v>
      </c>
      <c r="F10" s="42">
        <f>F11+F17+F30+F36</f>
        <v>41650.3</v>
      </c>
      <c r="G10" s="42">
        <f>G11+G17+G30+G36</f>
        <v>40581.799999999996</v>
      </c>
    </row>
    <row r="11" spans="1:7" ht="33">
      <c r="A11" s="32" t="s">
        <v>37</v>
      </c>
      <c r="B11" s="32" t="s">
        <v>79</v>
      </c>
      <c r="C11" s="32"/>
      <c r="D11" s="32"/>
      <c r="E11" s="30" t="s">
        <v>97</v>
      </c>
      <c r="F11" s="42">
        <f aca="true" t="shared" si="0" ref="F11:G15">F12</f>
        <v>1757</v>
      </c>
      <c r="G11" s="42">
        <f t="shared" si="0"/>
        <v>1604.4</v>
      </c>
    </row>
    <row r="12" spans="1:7" ht="49.5">
      <c r="A12" s="32" t="s">
        <v>37</v>
      </c>
      <c r="B12" s="32" t="s">
        <v>79</v>
      </c>
      <c r="C12" s="12" t="s">
        <v>248</v>
      </c>
      <c r="D12" s="16"/>
      <c r="E12" s="30" t="s">
        <v>229</v>
      </c>
      <c r="F12" s="42">
        <f t="shared" si="0"/>
        <v>1757</v>
      </c>
      <c r="G12" s="42">
        <f t="shared" si="0"/>
        <v>1604.4</v>
      </c>
    </row>
    <row r="13" spans="1:7" ht="12.75">
      <c r="A13" s="32" t="s">
        <v>37</v>
      </c>
      <c r="B13" s="32" t="s">
        <v>79</v>
      </c>
      <c r="C13" s="12" t="s">
        <v>249</v>
      </c>
      <c r="D13" s="16"/>
      <c r="E13" s="30" t="s">
        <v>5</v>
      </c>
      <c r="F13" s="42">
        <f t="shared" si="0"/>
        <v>1757</v>
      </c>
      <c r="G13" s="42">
        <f t="shared" si="0"/>
        <v>1604.4</v>
      </c>
    </row>
    <row r="14" spans="1:7" ht="33">
      <c r="A14" s="32" t="s">
        <v>37</v>
      </c>
      <c r="B14" s="32" t="s">
        <v>79</v>
      </c>
      <c r="C14" s="12" t="s">
        <v>414</v>
      </c>
      <c r="D14" s="16"/>
      <c r="E14" s="30" t="s">
        <v>445</v>
      </c>
      <c r="F14" s="42">
        <f t="shared" si="0"/>
        <v>1757</v>
      </c>
      <c r="G14" s="42">
        <f t="shared" si="0"/>
        <v>1604.4</v>
      </c>
    </row>
    <row r="15" spans="1:7" ht="33">
      <c r="A15" s="32" t="s">
        <v>37</v>
      </c>
      <c r="B15" s="32" t="s">
        <v>79</v>
      </c>
      <c r="C15" s="12" t="s">
        <v>250</v>
      </c>
      <c r="D15" s="9"/>
      <c r="E15" s="30" t="s">
        <v>55</v>
      </c>
      <c r="F15" s="42">
        <f t="shared" si="0"/>
        <v>1757</v>
      </c>
      <c r="G15" s="42">
        <f t="shared" si="0"/>
        <v>1604.4</v>
      </c>
    </row>
    <row r="16" spans="1:7" ht="66">
      <c r="A16" s="32" t="s">
        <v>37</v>
      </c>
      <c r="B16" s="32" t="s">
        <v>79</v>
      </c>
      <c r="C16" s="12" t="s">
        <v>250</v>
      </c>
      <c r="D16" s="16">
        <v>100</v>
      </c>
      <c r="E16" s="41" t="s">
        <v>6</v>
      </c>
      <c r="F16" s="42">
        <f>1455.3+301.7</f>
        <v>1757</v>
      </c>
      <c r="G16" s="42">
        <v>1604.4</v>
      </c>
    </row>
    <row r="17" spans="1:7" ht="49.5">
      <c r="A17" s="32" t="s">
        <v>37</v>
      </c>
      <c r="B17" s="32" t="s">
        <v>81</v>
      </c>
      <c r="C17" s="32"/>
      <c r="D17" s="32"/>
      <c r="E17" s="30" t="s">
        <v>57</v>
      </c>
      <c r="F17" s="42">
        <f aca="true" t="shared" si="1" ref="F17:G18">F18</f>
        <v>36509.8</v>
      </c>
      <c r="G17" s="42">
        <f t="shared" si="1"/>
        <v>36421.2</v>
      </c>
    </row>
    <row r="18" spans="1:7" ht="49.5">
      <c r="A18" s="32" t="s">
        <v>37</v>
      </c>
      <c r="B18" s="32" t="s">
        <v>81</v>
      </c>
      <c r="C18" s="12" t="s">
        <v>248</v>
      </c>
      <c r="D18" s="16"/>
      <c r="E18" s="30" t="s">
        <v>229</v>
      </c>
      <c r="F18" s="42">
        <f t="shared" si="1"/>
        <v>36509.8</v>
      </c>
      <c r="G18" s="42">
        <f t="shared" si="1"/>
        <v>36421.2</v>
      </c>
    </row>
    <row r="19" spans="1:7" ht="12.75">
      <c r="A19" s="32" t="s">
        <v>37</v>
      </c>
      <c r="B19" s="32" t="s">
        <v>81</v>
      </c>
      <c r="C19" s="12" t="s">
        <v>249</v>
      </c>
      <c r="D19" s="16"/>
      <c r="E19" s="30" t="s">
        <v>5</v>
      </c>
      <c r="F19" s="42">
        <f>F20</f>
        <v>36509.8</v>
      </c>
      <c r="G19" s="42">
        <f>G20</f>
        <v>36421.2</v>
      </c>
    </row>
    <row r="20" spans="1:7" ht="33">
      <c r="A20" s="32" t="s">
        <v>37</v>
      </c>
      <c r="B20" s="32" t="s">
        <v>81</v>
      </c>
      <c r="C20" s="12" t="s">
        <v>414</v>
      </c>
      <c r="D20" s="16"/>
      <c r="E20" s="30" t="s">
        <v>445</v>
      </c>
      <c r="F20" s="42">
        <f>F21+F25+F27</f>
        <v>36509.8</v>
      </c>
      <c r="G20" s="42">
        <f>G21+G25+G27</f>
        <v>36421.2</v>
      </c>
    </row>
    <row r="21" spans="1:7" ht="66">
      <c r="A21" s="32" t="s">
        <v>37</v>
      </c>
      <c r="B21" s="32" t="s">
        <v>81</v>
      </c>
      <c r="C21" s="12" t="s">
        <v>251</v>
      </c>
      <c r="D21" s="9"/>
      <c r="E21" s="30" t="s">
        <v>113</v>
      </c>
      <c r="F21" s="42">
        <f>F22+F23+F24</f>
        <v>35792.5</v>
      </c>
      <c r="G21" s="42">
        <f>G22+G23+G24</f>
        <v>35703.899999999994</v>
      </c>
    </row>
    <row r="22" spans="1:7" ht="66">
      <c r="A22" s="32" t="s">
        <v>37</v>
      </c>
      <c r="B22" s="32" t="s">
        <v>81</v>
      </c>
      <c r="C22" s="12" t="s">
        <v>251</v>
      </c>
      <c r="D22" s="44" t="s">
        <v>107</v>
      </c>
      <c r="E22" s="10" t="s">
        <v>6</v>
      </c>
      <c r="F22" s="42">
        <f>31019.4-194+69.7+59.9</f>
        <v>30955.000000000004</v>
      </c>
      <c r="G22" s="42">
        <v>30945.1</v>
      </c>
    </row>
    <row r="23" spans="1:7" ht="33">
      <c r="A23" s="32" t="s">
        <v>37</v>
      </c>
      <c r="B23" s="32" t="s">
        <v>81</v>
      </c>
      <c r="C23" s="12" t="s">
        <v>251</v>
      </c>
      <c r="D23" s="44" t="s">
        <v>108</v>
      </c>
      <c r="E23" s="10" t="s">
        <v>454</v>
      </c>
      <c r="F23" s="42">
        <f>3963.5+422-6.6+30+55.6-2+230</f>
        <v>4692.5</v>
      </c>
      <c r="G23" s="42">
        <v>4615.2</v>
      </c>
    </row>
    <row r="24" spans="1:7" ht="33">
      <c r="A24" s="32" t="s">
        <v>37</v>
      </c>
      <c r="B24" s="32" t="s">
        <v>81</v>
      </c>
      <c r="C24" s="12" t="s">
        <v>251</v>
      </c>
      <c r="D24" s="44" t="s">
        <v>109</v>
      </c>
      <c r="E24" s="46" t="s">
        <v>110</v>
      </c>
      <c r="F24" s="42">
        <v>145</v>
      </c>
      <c r="G24" s="42">
        <v>143.6</v>
      </c>
    </row>
    <row r="25" spans="1:7" ht="49.5">
      <c r="A25" s="32" t="s">
        <v>37</v>
      </c>
      <c r="B25" s="32" t="s">
        <v>81</v>
      </c>
      <c r="C25" s="12" t="s">
        <v>252</v>
      </c>
      <c r="D25" s="9"/>
      <c r="E25" s="10" t="s">
        <v>114</v>
      </c>
      <c r="F25" s="42">
        <f>F26</f>
        <v>67.3</v>
      </c>
      <c r="G25" s="42">
        <f>G26</f>
        <v>67.3</v>
      </c>
    </row>
    <row r="26" spans="1:7" ht="66">
      <c r="A26" s="32" t="s">
        <v>37</v>
      </c>
      <c r="B26" s="32" t="s">
        <v>81</v>
      </c>
      <c r="C26" s="12" t="s">
        <v>252</v>
      </c>
      <c r="D26" s="44" t="s">
        <v>107</v>
      </c>
      <c r="E26" s="10" t="s">
        <v>6</v>
      </c>
      <c r="F26" s="42">
        <f>71-3.7</f>
        <v>67.3</v>
      </c>
      <c r="G26" s="42">
        <v>67.3</v>
      </c>
    </row>
    <row r="27" spans="1:7" ht="49.5">
      <c r="A27" s="32" t="s">
        <v>37</v>
      </c>
      <c r="B27" s="32" t="s">
        <v>81</v>
      </c>
      <c r="C27" s="9" t="s">
        <v>253</v>
      </c>
      <c r="D27" s="9"/>
      <c r="E27" s="41" t="s">
        <v>371</v>
      </c>
      <c r="F27" s="42">
        <f>F28+F29</f>
        <v>650</v>
      </c>
      <c r="G27" s="42">
        <f>G28+G29</f>
        <v>650</v>
      </c>
    </row>
    <row r="28" spans="1:7" ht="66">
      <c r="A28" s="32" t="s">
        <v>37</v>
      </c>
      <c r="B28" s="32" t="s">
        <v>81</v>
      </c>
      <c r="C28" s="9" t="s">
        <v>253</v>
      </c>
      <c r="D28" s="44" t="s">
        <v>107</v>
      </c>
      <c r="E28" s="10" t="s">
        <v>6</v>
      </c>
      <c r="F28" s="42">
        <f>594-3</f>
        <v>591</v>
      </c>
      <c r="G28" s="42">
        <v>591</v>
      </c>
    </row>
    <row r="29" spans="1:7" ht="33">
      <c r="A29" s="32" t="s">
        <v>37</v>
      </c>
      <c r="B29" s="32" t="s">
        <v>81</v>
      </c>
      <c r="C29" s="9" t="s">
        <v>253</v>
      </c>
      <c r="D29" s="44" t="s">
        <v>108</v>
      </c>
      <c r="E29" s="10" t="s">
        <v>454</v>
      </c>
      <c r="F29" s="42">
        <f>56+3</f>
        <v>59</v>
      </c>
      <c r="G29" s="42">
        <v>59</v>
      </c>
    </row>
    <row r="30" spans="1:7" ht="12.75">
      <c r="A30" s="32" t="s">
        <v>37</v>
      </c>
      <c r="B30" s="32" t="s">
        <v>1</v>
      </c>
      <c r="C30" s="9"/>
      <c r="D30" s="44"/>
      <c r="E30" s="10" t="s">
        <v>2</v>
      </c>
      <c r="F30" s="42">
        <f aca="true" t="shared" si="2" ref="F30:G34">F31</f>
        <v>42.8</v>
      </c>
      <c r="G30" s="42">
        <f t="shared" si="2"/>
        <v>0</v>
      </c>
    </row>
    <row r="31" spans="1:7" ht="49.5">
      <c r="A31" s="32" t="s">
        <v>37</v>
      </c>
      <c r="B31" s="32" t="s">
        <v>1</v>
      </c>
      <c r="C31" s="12" t="s">
        <v>248</v>
      </c>
      <c r="D31" s="44"/>
      <c r="E31" s="30" t="s">
        <v>229</v>
      </c>
      <c r="F31" s="42">
        <f t="shared" si="2"/>
        <v>42.8</v>
      </c>
      <c r="G31" s="42">
        <f t="shared" si="2"/>
        <v>0</v>
      </c>
    </row>
    <row r="32" spans="1:7" ht="49.5">
      <c r="A32" s="32" t="s">
        <v>37</v>
      </c>
      <c r="B32" s="32" t="s">
        <v>1</v>
      </c>
      <c r="C32" s="12" t="s">
        <v>254</v>
      </c>
      <c r="D32" s="44"/>
      <c r="E32" s="10" t="s">
        <v>13</v>
      </c>
      <c r="F32" s="42">
        <f t="shared" si="2"/>
        <v>42.8</v>
      </c>
      <c r="G32" s="42">
        <f t="shared" si="2"/>
        <v>0</v>
      </c>
    </row>
    <row r="33" spans="1:7" ht="33">
      <c r="A33" s="32" t="s">
        <v>37</v>
      </c>
      <c r="B33" s="32" t="s">
        <v>1</v>
      </c>
      <c r="C33" s="12" t="s">
        <v>415</v>
      </c>
      <c r="D33" s="44"/>
      <c r="E33" s="30" t="s">
        <v>446</v>
      </c>
      <c r="F33" s="42">
        <f t="shared" si="2"/>
        <v>42.8</v>
      </c>
      <c r="G33" s="42">
        <f t="shared" si="2"/>
        <v>0</v>
      </c>
    </row>
    <row r="34" spans="1:7" ht="49.5">
      <c r="A34" s="32" t="s">
        <v>37</v>
      </c>
      <c r="B34" s="32" t="s">
        <v>1</v>
      </c>
      <c r="C34" s="9" t="s">
        <v>255</v>
      </c>
      <c r="D34" s="9"/>
      <c r="E34" s="41" t="s">
        <v>368</v>
      </c>
      <c r="F34" s="42">
        <f t="shared" si="2"/>
        <v>42.8</v>
      </c>
      <c r="G34" s="42">
        <f t="shared" si="2"/>
        <v>0</v>
      </c>
    </row>
    <row r="35" spans="1:7" ht="33">
      <c r="A35" s="32" t="s">
        <v>37</v>
      </c>
      <c r="B35" s="32" t="s">
        <v>1</v>
      </c>
      <c r="C35" s="9" t="s">
        <v>255</v>
      </c>
      <c r="D35" s="44" t="s">
        <v>108</v>
      </c>
      <c r="E35" s="10" t="s">
        <v>454</v>
      </c>
      <c r="F35" s="42">
        <v>42.8</v>
      </c>
      <c r="G35" s="42">
        <v>0</v>
      </c>
    </row>
    <row r="36" spans="1:7" ht="12.75">
      <c r="A36" s="32" t="s">
        <v>37</v>
      </c>
      <c r="B36" s="32" t="s">
        <v>98</v>
      </c>
      <c r="C36" s="33"/>
      <c r="D36" s="33"/>
      <c r="E36" s="10" t="s">
        <v>58</v>
      </c>
      <c r="F36" s="42">
        <f>F37+F67</f>
        <v>3340.7</v>
      </c>
      <c r="G36" s="42">
        <f>G37+G67</f>
        <v>2556.2</v>
      </c>
    </row>
    <row r="37" spans="1:7" ht="49.5">
      <c r="A37" s="32" t="s">
        <v>37</v>
      </c>
      <c r="B37" s="32" t="s">
        <v>98</v>
      </c>
      <c r="C37" s="12" t="s">
        <v>248</v>
      </c>
      <c r="D37" s="44"/>
      <c r="E37" s="30" t="s">
        <v>229</v>
      </c>
      <c r="F37" s="42">
        <f>F38+F46+F53+F58</f>
        <v>3222.8999999999996</v>
      </c>
      <c r="G37" s="42">
        <f>G38+G46+G53+G58</f>
        <v>2438.3999999999996</v>
      </c>
    </row>
    <row r="38" spans="1:7" ht="49.5">
      <c r="A38" s="32" t="s">
        <v>37</v>
      </c>
      <c r="B38" s="32" t="s">
        <v>98</v>
      </c>
      <c r="C38" s="12" t="s">
        <v>254</v>
      </c>
      <c r="D38" s="44"/>
      <c r="E38" s="10" t="s">
        <v>13</v>
      </c>
      <c r="F38" s="42">
        <f>F39</f>
        <v>2798.7</v>
      </c>
      <c r="G38" s="42">
        <f>G39</f>
        <v>2019.2</v>
      </c>
    </row>
    <row r="39" spans="1:7" ht="33">
      <c r="A39" s="32" t="s">
        <v>37</v>
      </c>
      <c r="B39" s="32" t="s">
        <v>98</v>
      </c>
      <c r="C39" s="12" t="s">
        <v>415</v>
      </c>
      <c r="D39" s="44"/>
      <c r="E39" s="30" t="s">
        <v>446</v>
      </c>
      <c r="F39" s="42">
        <f>F40+F42+F44</f>
        <v>2798.7</v>
      </c>
      <c r="G39" s="42">
        <f>G40+G42+G44</f>
        <v>2019.2</v>
      </c>
    </row>
    <row r="40" spans="1:7" ht="33">
      <c r="A40" s="32" t="s">
        <v>37</v>
      </c>
      <c r="B40" s="32" t="s">
        <v>98</v>
      </c>
      <c r="C40" s="12" t="s">
        <v>256</v>
      </c>
      <c r="D40" s="44"/>
      <c r="E40" s="10" t="s">
        <v>186</v>
      </c>
      <c r="F40" s="42">
        <f aca="true" t="shared" si="3" ref="F40:G40">F41</f>
        <v>529</v>
      </c>
      <c r="G40" s="42">
        <f t="shared" si="3"/>
        <v>483.9</v>
      </c>
    </row>
    <row r="41" spans="1:7" ht="33">
      <c r="A41" s="32" t="s">
        <v>37</v>
      </c>
      <c r="B41" s="32" t="s">
        <v>98</v>
      </c>
      <c r="C41" s="12" t="s">
        <v>256</v>
      </c>
      <c r="D41" s="44" t="s">
        <v>108</v>
      </c>
      <c r="E41" s="10" t="s">
        <v>454</v>
      </c>
      <c r="F41" s="42">
        <f>319+90+150-30</f>
        <v>529</v>
      </c>
      <c r="G41" s="42">
        <v>483.9</v>
      </c>
    </row>
    <row r="42" spans="1:7" ht="33">
      <c r="A42" s="32" t="s">
        <v>37</v>
      </c>
      <c r="B42" s="32" t="s">
        <v>98</v>
      </c>
      <c r="C42" s="12" t="s">
        <v>467</v>
      </c>
      <c r="D42" s="44"/>
      <c r="E42" s="10" t="s">
        <v>468</v>
      </c>
      <c r="F42" s="42">
        <f>F43</f>
        <v>655.5999999999999</v>
      </c>
      <c r="G42" s="42">
        <f>G43</f>
        <v>257.9</v>
      </c>
    </row>
    <row r="43" spans="1:7" ht="33">
      <c r="A43" s="32" t="s">
        <v>37</v>
      </c>
      <c r="B43" s="32" t="s">
        <v>98</v>
      </c>
      <c r="C43" s="12" t="s">
        <v>467</v>
      </c>
      <c r="D43" s="44" t="s">
        <v>108</v>
      </c>
      <c r="E43" s="10" t="s">
        <v>454</v>
      </c>
      <c r="F43" s="42">
        <f>1302.1-138.2-508.3</f>
        <v>655.5999999999999</v>
      </c>
      <c r="G43" s="42">
        <v>257.9</v>
      </c>
    </row>
    <row r="44" spans="1:7" ht="82.5">
      <c r="A44" s="32" t="s">
        <v>37</v>
      </c>
      <c r="B44" s="32" t="s">
        <v>98</v>
      </c>
      <c r="C44" s="12" t="s">
        <v>484</v>
      </c>
      <c r="D44" s="44"/>
      <c r="E44" s="10" t="s">
        <v>485</v>
      </c>
      <c r="F44" s="42">
        <f>F45</f>
        <v>1614.1</v>
      </c>
      <c r="G44" s="42">
        <f>G45</f>
        <v>1277.4</v>
      </c>
    </row>
    <row r="45" spans="1:7" ht="33">
      <c r="A45" s="32" t="s">
        <v>37</v>
      </c>
      <c r="B45" s="32" t="s">
        <v>98</v>
      </c>
      <c r="C45" s="12" t="s">
        <v>484</v>
      </c>
      <c r="D45" s="44" t="s">
        <v>108</v>
      </c>
      <c r="E45" s="10" t="s">
        <v>454</v>
      </c>
      <c r="F45" s="42">
        <f>1899-284.9</f>
        <v>1614.1</v>
      </c>
      <c r="G45" s="42">
        <v>1277.4</v>
      </c>
    </row>
    <row r="46" spans="1:7" ht="82.5">
      <c r="A46" s="32" t="s">
        <v>37</v>
      </c>
      <c r="B46" s="32" t="s">
        <v>98</v>
      </c>
      <c r="C46" s="12" t="s">
        <v>257</v>
      </c>
      <c r="D46" s="44"/>
      <c r="E46" s="10" t="s">
        <v>187</v>
      </c>
      <c r="F46" s="42">
        <f>F47+F50</f>
        <v>75</v>
      </c>
      <c r="G46" s="42">
        <f>G47+G50</f>
        <v>75</v>
      </c>
    </row>
    <row r="47" spans="1:7" ht="49.5">
      <c r="A47" s="32" t="s">
        <v>37</v>
      </c>
      <c r="B47" s="32" t="s">
        <v>98</v>
      </c>
      <c r="C47" s="12" t="s">
        <v>416</v>
      </c>
      <c r="D47" s="44"/>
      <c r="E47" s="30" t="s">
        <v>435</v>
      </c>
      <c r="F47" s="42">
        <f>F48</f>
        <v>50</v>
      </c>
      <c r="G47" s="42">
        <f>G48</f>
        <v>50</v>
      </c>
    </row>
    <row r="48" spans="1:7" ht="33">
      <c r="A48" s="32" t="s">
        <v>37</v>
      </c>
      <c r="B48" s="32" t="s">
        <v>98</v>
      </c>
      <c r="C48" s="12" t="s">
        <v>258</v>
      </c>
      <c r="D48" s="44"/>
      <c r="E48" s="10" t="s">
        <v>188</v>
      </c>
      <c r="F48" s="42">
        <f>F49</f>
        <v>50</v>
      </c>
      <c r="G48" s="42">
        <f>G49</f>
        <v>50</v>
      </c>
    </row>
    <row r="49" spans="1:7" ht="12.75">
      <c r="A49" s="32" t="s">
        <v>37</v>
      </c>
      <c r="B49" s="32" t="s">
        <v>98</v>
      </c>
      <c r="C49" s="12" t="s">
        <v>258</v>
      </c>
      <c r="D49" s="44" t="s">
        <v>109</v>
      </c>
      <c r="E49" s="46" t="s">
        <v>110</v>
      </c>
      <c r="F49" s="42">
        <v>50</v>
      </c>
      <c r="G49" s="42">
        <v>50</v>
      </c>
    </row>
    <row r="50" spans="1:7" ht="33">
      <c r="A50" s="32" t="s">
        <v>37</v>
      </c>
      <c r="B50" s="32" t="s">
        <v>98</v>
      </c>
      <c r="C50" s="12" t="s">
        <v>417</v>
      </c>
      <c r="D50" s="44"/>
      <c r="E50" s="30" t="s">
        <v>436</v>
      </c>
      <c r="F50" s="42">
        <f>F51</f>
        <v>25</v>
      </c>
      <c r="G50" s="42">
        <f>G51</f>
        <v>25</v>
      </c>
    </row>
    <row r="51" spans="1:7" ht="49.5">
      <c r="A51" s="32" t="s">
        <v>37</v>
      </c>
      <c r="B51" s="32" t="s">
        <v>98</v>
      </c>
      <c r="C51" s="12" t="s">
        <v>259</v>
      </c>
      <c r="D51" s="44"/>
      <c r="E51" s="10" t="s">
        <v>189</v>
      </c>
      <c r="F51" s="42">
        <f>F52</f>
        <v>25</v>
      </c>
      <c r="G51" s="42">
        <f>G52</f>
        <v>25</v>
      </c>
    </row>
    <row r="52" spans="1:7" ht="33">
      <c r="A52" s="32" t="s">
        <v>37</v>
      </c>
      <c r="B52" s="32" t="s">
        <v>98</v>
      </c>
      <c r="C52" s="12" t="s">
        <v>259</v>
      </c>
      <c r="D52" s="44" t="s">
        <v>108</v>
      </c>
      <c r="E52" s="10" t="s">
        <v>454</v>
      </c>
      <c r="F52" s="42">
        <v>25</v>
      </c>
      <c r="G52" s="42">
        <v>25</v>
      </c>
    </row>
    <row r="53" spans="1:7" ht="49.5">
      <c r="A53" s="32" t="s">
        <v>37</v>
      </c>
      <c r="B53" s="32" t="s">
        <v>98</v>
      </c>
      <c r="C53" s="12" t="s">
        <v>260</v>
      </c>
      <c r="D53" s="44"/>
      <c r="E53" s="10" t="s">
        <v>183</v>
      </c>
      <c r="F53" s="42">
        <f>F54</f>
        <v>51.6</v>
      </c>
      <c r="G53" s="42">
        <f>G54</f>
        <v>51.6</v>
      </c>
    </row>
    <row r="54" spans="1:7" ht="49.5">
      <c r="A54" s="32" t="s">
        <v>37</v>
      </c>
      <c r="B54" s="32" t="s">
        <v>98</v>
      </c>
      <c r="C54" s="12" t="s">
        <v>418</v>
      </c>
      <c r="D54" s="44"/>
      <c r="E54" s="30" t="s">
        <v>437</v>
      </c>
      <c r="F54" s="42">
        <f>F55</f>
        <v>51.6</v>
      </c>
      <c r="G54" s="42">
        <f>G55</f>
        <v>51.6</v>
      </c>
    </row>
    <row r="55" spans="1:7" ht="33">
      <c r="A55" s="32" t="s">
        <v>37</v>
      </c>
      <c r="B55" s="32" t="s">
        <v>98</v>
      </c>
      <c r="C55" s="12" t="s">
        <v>261</v>
      </c>
      <c r="D55" s="44"/>
      <c r="E55" s="10" t="s">
        <v>185</v>
      </c>
      <c r="F55" s="42">
        <f>F57+F56</f>
        <v>51.6</v>
      </c>
      <c r="G55" s="42">
        <f>G57+G56</f>
        <v>51.6</v>
      </c>
    </row>
    <row r="56" spans="1:7" ht="33">
      <c r="A56" s="32" t="s">
        <v>37</v>
      </c>
      <c r="B56" s="32" t="s">
        <v>98</v>
      </c>
      <c r="C56" s="12" t="s">
        <v>261</v>
      </c>
      <c r="D56" s="44" t="s">
        <v>108</v>
      </c>
      <c r="E56" s="10" t="s">
        <v>454</v>
      </c>
      <c r="F56" s="42">
        <f>44.7-10.1+2</f>
        <v>36.6</v>
      </c>
      <c r="G56" s="42">
        <v>36.6</v>
      </c>
    </row>
    <row r="57" spans="1:7" ht="12.75">
      <c r="A57" s="32" t="s">
        <v>37</v>
      </c>
      <c r="B57" s="32" t="s">
        <v>98</v>
      </c>
      <c r="C57" s="12" t="s">
        <v>261</v>
      </c>
      <c r="D57" s="16" t="s">
        <v>111</v>
      </c>
      <c r="E57" s="10" t="s">
        <v>112</v>
      </c>
      <c r="F57" s="42">
        <v>15</v>
      </c>
      <c r="G57" s="42">
        <v>15</v>
      </c>
    </row>
    <row r="58" spans="1:7" ht="12.75">
      <c r="A58" s="32" t="s">
        <v>37</v>
      </c>
      <c r="B58" s="32" t="s">
        <v>98</v>
      </c>
      <c r="C58" s="12" t="s">
        <v>249</v>
      </c>
      <c r="D58" s="44"/>
      <c r="E58" s="10" t="s">
        <v>5</v>
      </c>
      <c r="F58" s="42">
        <f>F59</f>
        <v>297.59999999999997</v>
      </c>
      <c r="G58" s="42">
        <f>G59</f>
        <v>292.6</v>
      </c>
    </row>
    <row r="59" spans="1:7" ht="33">
      <c r="A59" s="32" t="s">
        <v>37</v>
      </c>
      <c r="B59" s="32" t="s">
        <v>98</v>
      </c>
      <c r="C59" s="12" t="s">
        <v>414</v>
      </c>
      <c r="D59" s="44"/>
      <c r="E59" s="30" t="s">
        <v>445</v>
      </c>
      <c r="F59" s="42">
        <f>F60+F62+F65</f>
        <v>297.59999999999997</v>
      </c>
      <c r="G59" s="42">
        <f>G60+G62+G65</f>
        <v>292.6</v>
      </c>
    </row>
    <row r="60" spans="1:7" ht="49.5">
      <c r="A60" s="32" t="s">
        <v>37</v>
      </c>
      <c r="B60" s="32" t="s">
        <v>98</v>
      </c>
      <c r="C60" s="12" t="s">
        <v>252</v>
      </c>
      <c r="D60" s="44"/>
      <c r="E60" s="10" t="s">
        <v>114</v>
      </c>
      <c r="F60" s="42">
        <f>F61</f>
        <v>31.7</v>
      </c>
      <c r="G60" s="42">
        <f>G61</f>
        <v>31.6</v>
      </c>
    </row>
    <row r="61" spans="1:7" ht="66">
      <c r="A61" s="32" t="s">
        <v>37</v>
      </c>
      <c r="B61" s="32" t="s">
        <v>98</v>
      </c>
      <c r="C61" s="12" t="s">
        <v>252</v>
      </c>
      <c r="D61" s="44" t="s">
        <v>107</v>
      </c>
      <c r="E61" s="10" t="s">
        <v>6</v>
      </c>
      <c r="F61" s="42">
        <v>31.7</v>
      </c>
      <c r="G61" s="42">
        <v>31.6</v>
      </c>
    </row>
    <row r="62" spans="1:7" ht="66">
      <c r="A62" s="32" t="s">
        <v>37</v>
      </c>
      <c r="B62" s="32" t="s">
        <v>98</v>
      </c>
      <c r="C62" s="12" t="s">
        <v>262</v>
      </c>
      <c r="D62" s="44"/>
      <c r="E62" s="10" t="s">
        <v>228</v>
      </c>
      <c r="F62" s="42">
        <f>F63+F64</f>
        <v>264</v>
      </c>
      <c r="G62" s="42">
        <f>G63+G64</f>
        <v>260.3</v>
      </c>
    </row>
    <row r="63" spans="1:7" ht="66">
      <c r="A63" s="32" t="s">
        <v>37</v>
      </c>
      <c r="B63" s="32" t="s">
        <v>98</v>
      </c>
      <c r="C63" s="12" t="s">
        <v>262</v>
      </c>
      <c r="D63" s="44" t="s">
        <v>107</v>
      </c>
      <c r="E63" s="10" t="s">
        <v>6</v>
      </c>
      <c r="F63" s="42">
        <v>242</v>
      </c>
      <c r="G63" s="42">
        <v>242</v>
      </c>
    </row>
    <row r="64" spans="1:7" ht="33">
      <c r="A64" s="32" t="s">
        <v>37</v>
      </c>
      <c r="B64" s="32" t="s">
        <v>98</v>
      </c>
      <c r="C64" s="12" t="s">
        <v>262</v>
      </c>
      <c r="D64" s="44" t="s">
        <v>108</v>
      </c>
      <c r="E64" s="10" t="s">
        <v>454</v>
      </c>
      <c r="F64" s="42">
        <v>22</v>
      </c>
      <c r="G64" s="42">
        <v>18.3</v>
      </c>
    </row>
    <row r="65" spans="1:7" ht="66">
      <c r="A65" s="32" t="s">
        <v>37</v>
      </c>
      <c r="B65" s="32" t="s">
        <v>98</v>
      </c>
      <c r="C65" s="12" t="s">
        <v>548</v>
      </c>
      <c r="D65" s="44"/>
      <c r="E65" s="30" t="s">
        <v>549</v>
      </c>
      <c r="F65" s="42">
        <f>F66</f>
        <v>1.9</v>
      </c>
      <c r="G65" s="42">
        <f>G66</f>
        <v>0.7</v>
      </c>
    </row>
    <row r="66" spans="1:7" ht="66">
      <c r="A66" s="32" t="s">
        <v>37</v>
      </c>
      <c r="B66" s="32" t="s">
        <v>98</v>
      </c>
      <c r="C66" s="12" t="s">
        <v>548</v>
      </c>
      <c r="D66" s="44" t="s">
        <v>107</v>
      </c>
      <c r="E66" s="10" t="s">
        <v>6</v>
      </c>
      <c r="F66" s="42">
        <v>1.9</v>
      </c>
      <c r="G66" s="42">
        <v>0.7</v>
      </c>
    </row>
    <row r="67" spans="1:7" ht="12.75">
      <c r="A67" s="32" t="s">
        <v>37</v>
      </c>
      <c r="B67" s="32" t="s">
        <v>98</v>
      </c>
      <c r="C67" s="4">
        <v>9900000000</v>
      </c>
      <c r="D67" s="45"/>
      <c r="E67" s="31" t="s">
        <v>9</v>
      </c>
      <c r="F67" s="42">
        <f aca="true" t="shared" si="4" ref="F67:G69">F68</f>
        <v>117.80000000000001</v>
      </c>
      <c r="G67" s="42">
        <f t="shared" si="4"/>
        <v>117.8</v>
      </c>
    </row>
    <row r="68" spans="1:7" ht="33">
      <c r="A68" s="32" t="s">
        <v>37</v>
      </c>
      <c r="B68" s="32" t="s">
        <v>98</v>
      </c>
      <c r="C68" s="4">
        <v>9940000000</v>
      </c>
      <c r="D68" s="44"/>
      <c r="E68" s="10" t="s">
        <v>477</v>
      </c>
      <c r="F68" s="42">
        <f t="shared" si="4"/>
        <v>117.80000000000001</v>
      </c>
      <c r="G68" s="42">
        <f t="shared" si="4"/>
        <v>117.8</v>
      </c>
    </row>
    <row r="69" spans="1:7" ht="12.75">
      <c r="A69" s="32" t="s">
        <v>37</v>
      </c>
      <c r="B69" s="32" t="s">
        <v>98</v>
      </c>
      <c r="C69" s="4" t="s">
        <v>478</v>
      </c>
      <c r="D69" s="44"/>
      <c r="E69" s="10" t="s">
        <v>479</v>
      </c>
      <c r="F69" s="42">
        <f t="shared" si="4"/>
        <v>117.80000000000001</v>
      </c>
      <c r="G69" s="42">
        <f t="shared" si="4"/>
        <v>117.8</v>
      </c>
    </row>
    <row r="70" spans="1:7" ht="12.75">
      <c r="A70" s="32" t="s">
        <v>37</v>
      </c>
      <c r="B70" s="32" t="s">
        <v>98</v>
      </c>
      <c r="C70" s="4" t="s">
        <v>478</v>
      </c>
      <c r="D70" s="44" t="s">
        <v>109</v>
      </c>
      <c r="E70" s="46" t="s">
        <v>110</v>
      </c>
      <c r="F70" s="42">
        <f>6.6+37+74.2</f>
        <v>117.80000000000001</v>
      </c>
      <c r="G70" s="42">
        <v>117.8</v>
      </c>
    </row>
    <row r="71" spans="1:7" ht="12.75">
      <c r="A71" s="32" t="s">
        <v>37</v>
      </c>
      <c r="B71" s="32" t="s">
        <v>93</v>
      </c>
      <c r="C71" s="12"/>
      <c r="D71" s="44"/>
      <c r="E71" s="10" t="s">
        <v>59</v>
      </c>
      <c r="F71" s="42">
        <f>F72+F81</f>
        <v>7768.2</v>
      </c>
      <c r="G71" s="42">
        <f>G72+G81</f>
        <v>7768</v>
      </c>
    </row>
    <row r="72" spans="1:7" ht="12.75">
      <c r="A72" s="32" t="s">
        <v>37</v>
      </c>
      <c r="B72" s="32" t="s">
        <v>115</v>
      </c>
      <c r="C72" s="12"/>
      <c r="D72" s="44"/>
      <c r="E72" s="10" t="s">
        <v>116</v>
      </c>
      <c r="F72" s="42">
        <f>F73</f>
        <v>1361.3</v>
      </c>
      <c r="G72" s="42">
        <f>G73</f>
        <v>1361.1</v>
      </c>
    </row>
    <row r="73" spans="1:7" ht="49.5">
      <c r="A73" s="32" t="s">
        <v>37</v>
      </c>
      <c r="B73" s="32" t="s">
        <v>115</v>
      </c>
      <c r="C73" s="12" t="s">
        <v>248</v>
      </c>
      <c r="D73" s="44"/>
      <c r="E73" s="30" t="s">
        <v>229</v>
      </c>
      <c r="F73" s="42">
        <f aca="true" t="shared" si="5" ref="F73:G73">F74</f>
        <v>1361.3</v>
      </c>
      <c r="G73" s="42">
        <f t="shared" si="5"/>
        <v>1361.1</v>
      </c>
    </row>
    <row r="74" spans="1:7" ht="12.75">
      <c r="A74" s="32" t="s">
        <v>37</v>
      </c>
      <c r="B74" s="32" t="s">
        <v>115</v>
      </c>
      <c r="C74" s="12" t="s">
        <v>249</v>
      </c>
      <c r="D74" s="44"/>
      <c r="E74" s="10" t="s">
        <v>5</v>
      </c>
      <c r="F74" s="42">
        <f>F75</f>
        <v>1361.3</v>
      </c>
      <c r="G74" s="42">
        <f>G75</f>
        <v>1361.1</v>
      </c>
    </row>
    <row r="75" spans="1:7" ht="33">
      <c r="A75" s="32" t="s">
        <v>37</v>
      </c>
      <c r="B75" s="32" t="s">
        <v>115</v>
      </c>
      <c r="C75" s="12" t="s">
        <v>414</v>
      </c>
      <c r="D75" s="44"/>
      <c r="E75" s="30" t="s">
        <v>445</v>
      </c>
      <c r="F75" s="42">
        <f>F76+F78</f>
        <v>1361.3</v>
      </c>
      <c r="G75" s="42">
        <f>G76+G78</f>
        <v>1361.1</v>
      </c>
    </row>
    <row r="76" spans="1:7" ht="49.5">
      <c r="A76" s="32" t="s">
        <v>37</v>
      </c>
      <c r="B76" s="32" t="s">
        <v>115</v>
      </c>
      <c r="C76" s="12" t="s">
        <v>252</v>
      </c>
      <c r="D76" s="44"/>
      <c r="E76" s="10" t="s">
        <v>114</v>
      </c>
      <c r="F76" s="42">
        <f>F77</f>
        <v>155.29999999999998</v>
      </c>
      <c r="G76" s="42">
        <f>G77</f>
        <v>155.1</v>
      </c>
    </row>
    <row r="77" spans="1:7" ht="66">
      <c r="A77" s="32" t="s">
        <v>37</v>
      </c>
      <c r="B77" s="32" t="s">
        <v>115</v>
      </c>
      <c r="C77" s="12" t="s">
        <v>252</v>
      </c>
      <c r="D77" s="44" t="s">
        <v>107</v>
      </c>
      <c r="E77" s="10" t="s">
        <v>6</v>
      </c>
      <c r="F77" s="42">
        <f>151.7+3.6</f>
        <v>155.29999999999998</v>
      </c>
      <c r="G77" s="42">
        <v>155.1</v>
      </c>
    </row>
    <row r="78" spans="1:7" ht="33">
      <c r="A78" s="32" t="s">
        <v>37</v>
      </c>
      <c r="B78" s="32" t="s">
        <v>115</v>
      </c>
      <c r="C78" s="12" t="s">
        <v>263</v>
      </c>
      <c r="D78" s="44"/>
      <c r="E78" s="10" t="s">
        <v>369</v>
      </c>
      <c r="F78" s="42">
        <f>F79+F80</f>
        <v>1206</v>
      </c>
      <c r="G78" s="42">
        <f>G79+G80</f>
        <v>1206</v>
      </c>
    </row>
    <row r="79" spans="1:7" ht="66">
      <c r="A79" s="32" t="s">
        <v>37</v>
      </c>
      <c r="B79" s="32" t="s">
        <v>115</v>
      </c>
      <c r="C79" s="12" t="s">
        <v>263</v>
      </c>
      <c r="D79" s="44" t="s">
        <v>107</v>
      </c>
      <c r="E79" s="10" t="s">
        <v>6</v>
      </c>
      <c r="F79" s="42">
        <f>1206-0.4</f>
        <v>1205.6</v>
      </c>
      <c r="G79" s="42">
        <v>1205.6</v>
      </c>
    </row>
    <row r="80" spans="1:7" ht="33">
      <c r="A80" s="32" t="s">
        <v>37</v>
      </c>
      <c r="B80" s="32" t="s">
        <v>115</v>
      </c>
      <c r="C80" s="12" t="s">
        <v>263</v>
      </c>
      <c r="D80" s="44" t="s">
        <v>108</v>
      </c>
      <c r="E80" s="10" t="s">
        <v>454</v>
      </c>
      <c r="F80" s="42">
        <v>0.4</v>
      </c>
      <c r="G80" s="42">
        <v>0.4</v>
      </c>
    </row>
    <row r="81" spans="1:7" ht="33">
      <c r="A81" s="32" t="s">
        <v>37</v>
      </c>
      <c r="B81" s="32" t="s">
        <v>84</v>
      </c>
      <c r="C81" s="12"/>
      <c r="D81" s="44"/>
      <c r="E81" s="10" t="s">
        <v>32</v>
      </c>
      <c r="F81" s="42">
        <f aca="true" t="shared" si="6" ref="F81:G85">F82</f>
        <v>6406.9</v>
      </c>
      <c r="G81" s="42">
        <f t="shared" si="6"/>
        <v>6406.9</v>
      </c>
    </row>
    <row r="82" spans="1:7" ht="49.5">
      <c r="A82" s="32" t="s">
        <v>37</v>
      </c>
      <c r="B82" s="32" t="s">
        <v>84</v>
      </c>
      <c r="C82" s="12" t="s">
        <v>248</v>
      </c>
      <c r="D82" s="44"/>
      <c r="E82" s="30" t="s">
        <v>229</v>
      </c>
      <c r="F82" s="42">
        <f t="shared" si="6"/>
        <v>6406.9</v>
      </c>
      <c r="G82" s="42">
        <f t="shared" si="6"/>
        <v>6406.9</v>
      </c>
    </row>
    <row r="83" spans="1:7" ht="33">
      <c r="A83" s="32" t="s">
        <v>37</v>
      </c>
      <c r="B83" s="32" t="s">
        <v>84</v>
      </c>
      <c r="C83" s="12" t="s">
        <v>264</v>
      </c>
      <c r="D83" s="44"/>
      <c r="E83" s="10" t="s">
        <v>190</v>
      </c>
      <c r="F83" s="42">
        <f t="shared" si="6"/>
        <v>6406.9</v>
      </c>
      <c r="G83" s="42">
        <f t="shared" si="6"/>
        <v>6406.9</v>
      </c>
    </row>
    <row r="84" spans="1:7" ht="33">
      <c r="A84" s="32" t="s">
        <v>37</v>
      </c>
      <c r="B84" s="32" t="s">
        <v>84</v>
      </c>
      <c r="C84" s="12" t="s">
        <v>419</v>
      </c>
      <c r="D84" s="44"/>
      <c r="E84" s="30" t="s">
        <v>455</v>
      </c>
      <c r="F84" s="42">
        <f t="shared" si="6"/>
        <v>6406.9</v>
      </c>
      <c r="G84" s="42">
        <f t="shared" si="6"/>
        <v>6406.9</v>
      </c>
    </row>
    <row r="85" spans="1:7" ht="33">
      <c r="A85" s="32" t="s">
        <v>37</v>
      </c>
      <c r="B85" s="32" t="s">
        <v>84</v>
      </c>
      <c r="C85" s="12" t="s">
        <v>265</v>
      </c>
      <c r="D85" s="44"/>
      <c r="E85" s="10" t="s">
        <v>191</v>
      </c>
      <c r="F85" s="42">
        <f t="shared" si="6"/>
        <v>6406.9</v>
      </c>
      <c r="G85" s="42">
        <f t="shared" si="6"/>
        <v>6406.9</v>
      </c>
    </row>
    <row r="86" spans="1:7" ht="33">
      <c r="A86" s="32" t="s">
        <v>37</v>
      </c>
      <c r="B86" s="32" t="s">
        <v>84</v>
      </c>
      <c r="C86" s="12" t="s">
        <v>265</v>
      </c>
      <c r="D86" s="16">
        <v>600</v>
      </c>
      <c r="E86" s="10" t="s">
        <v>131</v>
      </c>
      <c r="F86" s="42">
        <v>6406.9</v>
      </c>
      <c r="G86" s="42">
        <v>6406.9</v>
      </c>
    </row>
    <row r="87" spans="1:7" ht="12.75">
      <c r="A87" s="32" t="s">
        <v>37</v>
      </c>
      <c r="B87" s="32" t="s">
        <v>94</v>
      </c>
      <c r="C87" s="12"/>
      <c r="D87" s="16"/>
      <c r="E87" s="10" t="s">
        <v>60</v>
      </c>
      <c r="F87" s="42">
        <f>F88+F100+F125+F94</f>
        <v>49637.4</v>
      </c>
      <c r="G87" s="42">
        <f>G88+G100+G125+G94</f>
        <v>49411.4</v>
      </c>
    </row>
    <row r="88" spans="1:7" ht="12.75">
      <c r="A88" s="32" t="s">
        <v>37</v>
      </c>
      <c r="B88" s="32" t="s">
        <v>211</v>
      </c>
      <c r="C88" s="12"/>
      <c r="D88" s="16"/>
      <c r="E88" s="41" t="s">
        <v>212</v>
      </c>
      <c r="F88" s="42">
        <f aca="true" t="shared" si="7" ref="F88:G92">F89</f>
        <v>250.9</v>
      </c>
      <c r="G88" s="42">
        <f t="shared" si="7"/>
        <v>250.9</v>
      </c>
    </row>
    <row r="89" spans="1:7" ht="49.5">
      <c r="A89" s="32" t="s">
        <v>37</v>
      </c>
      <c r="B89" s="32" t="s">
        <v>211</v>
      </c>
      <c r="C89" s="12" t="s">
        <v>266</v>
      </c>
      <c r="D89" s="16"/>
      <c r="E89" s="10" t="s">
        <v>203</v>
      </c>
      <c r="F89" s="42">
        <f t="shared" si="7"/>
        <v>250.9</v>
      </c>
      <c r="G89" s="42">
        <f t="shared" si="7"/>
        <v>250.9</v>
      </c>
    </row>
    <row r="90" spans="1:7" ht="33">
      <c r="A90" s="32" t="s">
        <v>37</v>
      </c>
      <c r="B90" s="32" t="s">
        <v>211</v>
      </c>
      <c r="C90" s="12" t="s">
        <v>267</v>
      </c>
      <c r="D90" s="16"/>
      <c r="E90" s="10" t="s">
        <v>204</v>
      </c>
      <c r="F90" s="42">
        <f t="shared" si="7"/>
        <v>250.9</v>
      </c>
      <c r="G90" s="42">
        <f t="shared" si="7"/>
        <v>250.9</v>
      </c>
    </row>
    <row r="91" spans="1:7" ht="49.5">
      <c r="A91" s="32" t="s">
        <v>37</v>
      </c>
      <c r="B91" s="32" t="s">
        <v>211</v>
      </c>
      <c r="C91" s="9" t="s">
        <v>404</v>
      </c>
      <c r="D91" s="9"/>
      <c r="E91" s="41" t="s">
        <v>405</v>
      </c>
      <c r="F91" s="42">
        <f t="shared" si="7"/>
        <v>250.9</v>
      </c>
      <c r="G91" s="42">
        <f t="shared" si="7"/>
        <v>250.9</v>
      </c>
    </row>
    <row r="92" spans="1:7" ht="82.5">
      <c r="A92" s="32" t="s">
        <v>37</v>
      </c>
      <c r="B92" s="32" t="s">
        <v>211</v>
      </c>
      <c r="C92" s="12" t="s">
        <v>268</v>
      </c>
      <c r="D92" s="16"/>
      <c r="E92" s="10" t="s">
        <v>213</v>
      </c>
      <c r="F92" s="42">
        <f t="shared" si="7"/>
        <v>250.9</v>
      </c>
      <c r="G92" s="42">
        <f t="shared" si="7"/>
        <v>250.9</v>
      </c>
    </row>
    <row r="93" spans="1:7" ht="33">
      <c r="A93" s="32" t="s">
        <v>37</v>
      </c>
      <c r="B93" s="32" t="s">
        <v>211</v>
      </c>
      <c r="C93" s="12" t="s">
        <v>268</v>
      </c>
      <c r="D93" s="44" t="s">
        <v>108</v>
      </c>
      <c r="E93" s="10" t="s">
        <v>454</v>
      </c>
      <c r="F93" s="42">
        <v>250.9</v>
      </c>
      <c r="G93" s="16">
        <v>250.9</v>
      </c>
    </row>
    <row r="94" spans="1:7" ht="12.75">
      <c r="A94" s="32" t="s">
        <v>37</v>
      </c>
      <c r="B94" s="32" t="s">
        <v>461</v>
      </c>
      <c r="C94" s="12"/>
      <c r="D94" s="44"/>
      <c r="E94" s="10" t="s">
        <v>462</v>
      </c>
      <c r="F94" s="42">
        <f aca="true" t="shared" si="8" ref="F94:G98">F95</f>
        <v>24</v>
      </c>
      <c r="G94" s="42">
        <f t="shared" si="8"/>
        <v>24</v>
      </c>
    </row>
    <row r="95" spans="1:7" ht="49.5">
      <c r="A95" s="32" t="s">
        <v>37</v>
      </c>
      <c r="B95" s="32" t="s">
        <v>461</v>
      </c>
      <c r="C95" s="12" t="s">
        <v>269</v>
      </c>
      <c r="D95" s="16"/>
      <c r="E95" s="10" t="s">
        <v>192</v>
      </c>
      <c r="F95" s="42">
        <f t="shared" si="8"/>
        <v>24</v>
      </c>
      <c r="G95" s="42">
        <f t="shared" si="8"/>
        <v>24</v>
      </c>
    </row>
    <row r="96" spans="1:7" ht="33">
      <c r="A96" s="32" t="s">
        <v>37</v>
      </c>
      <c r="B96" s="32" t="s">
        <v>461</v>
      </c>
      <c r="C96" s="12" t="s">
        <v>275</v>
      </c>
      <c r="D96" s="44"/>
      <c r="E96" s="10" t="s">
        <v>241</v>
      </c>
      <c r="F96" s="42">
        <f t="shared" si="8"/>
        <v>24</v>
      </c>
      <c r="G96" s="42">
        <f t="shared" si="8"/>
        <v>24</v>
      </c>
    </row>
    <row r="97" spans="1:7" ht="66">
      <c r="A97" s="32" t="s">
        <v>37</v>
      </c>
      <c r="B97" s="32" t="s">
        <v>461</v>
      </c>
      <c r="C97" s="12" t="s">
        <v>463</v>
      </c>
      <c r="D97" s="44"/>
      <c r="E97" s="10" t="s">
        <v>464</v>
      </c>
      <c r="F97" s="42">
        <f t="shared" si="8"/>
        <v>24</v>
      </c>
      <c r="G97" s="42">
        <f t="shared" si="8"/>
        <v>24</v>
      </c>
    </row>
    <row r="98" spans="1:7" ht="49.5">
      <c r="A98" s="32" t="s">
        <v>37</v>
      </c>
      <c r="B98" s="32" t="s">
        <v>461</v>
      </c>
      <c r="C98" s="12" t="s">
        <v>465</v>
      </c>
      <c r="D98" s="44"/>
      <c r="E98" s="10" t="s">
        <v>466</v>
      </c>
      <c r="F98" s="42">
        <f t="shared" si="8"/>
        <v>24</v>
      </c>
      <c r="G98" s="42">
        <f t="shared" si="8"/>
        <v>24</v>
      </c>
    </row>
    <row r="99" spans="1:7" ht="33">
      <c r="A99" s="32" t="s">
        <v>37</v>
      </c>
      <c r="B99" s="32" t="s">
        <v>461</v>
      </c>
      <c r="C99" s="12" t="s">
        <v>465</v>
      </c>
      <c r="D99" s="44" t="s">
        <v>108</v>
      </c>
      <c r="E99" s="10" t="s">
        <v>454</v>
      </c>
      <c r="F99" s="42">
        <v>24</v>
      </c>
      <c r="G99" s="42">
        <v>24</v>
      </c>
    </row>
    <row r="100" spans="1:7" ht="12.75">
      <c r="A100" s="32" t="s">
        <v>37</v>
      </c>
      <c r="B100" s="32" t="s">
        <v>19</v>
      </c>
      <c r="C100" s="12"/>
      <c r="D100" s="16"/>
      <c r="E100" s="66" t="s">
        <v>20</v>
      </c>
      <c r="F100" s="42">
        <f>F101</f>
        <v>49130.6</v>
      </c>
      <c r="G100" s="42">
        <f>G101</f>
        <v>48938.1</v>
      </c>
    </row>
    <row r="101" spans="1:7" ht="49.5">
      <c r="A101" s="32" t="s">
        <v>37</v>
      </c>
      <c r="B101" s="32" t="s">
        <v>19</v>
      </c>
      <c r="C101" s="12" t="s">
        <v>269</v>
      </c>
      <c r="D101" s="16"/>
      <c r="E101" s="10" t="s">
        <v>192</v>
      </c>
      <c r="F101" s="42">
        <f>F102+F119</f>
        <v>49130.6</v>
      </c>
      <c r="G101" s="42">
        <f>G102+G119</f>
        <v>48938.1</v>
      </c>
    </row>
    <row r="102" spans="1:7" ht="33">
      <c r="A102" s="32" t="s">
        <v>37</v>
      </c>
      <c r="B102" s="32" t="s">
        <v>19</v>
      </c>
      <c r="C102" s="12" t="s">
        <v>270</v>
      </c>
      <c r="D102" s="16"/>
      <c r="E102" s="10" t="s">
        <v>193</v>
      </c>
      <c r="F102" s="42">
        <f>F103+F106+F113+F116</f>
        <v>46795</v>
      </c>
      <c r="G102" s="42">
        <f>G103+G106+G113+G116</f>
        <v>46602.5</v>
      </c>
    </row>
    <row r="103" spans="1:7" ht="33">
      <c r="A103" s="32" t="s">
        <v>37</v>
      </c>
      <c r="B103" s="32" t="s">
        <v>19</v>
      </c>
      <c r="C103" s="12" t="s">
        <v>406</v>
      </c>
      <c r="D103" s="16"/>
      <c r="E103" s="10" t="s">
        <v>407</v>
      </c>
      <c r="F103" s="42">
        <f>F104</f>
        <v>17192.500000000004</v>
      </c>
      <c r="G103" s="42">
        <f>G104</f>
        <v>17192.5</v>
      </c>
    </row>
    <row r="104" spans="1:7" ht="49.5">
      <c r="A104" s="32" t="s">
        <v>37</v>
      </c>
      <c r="B104" s="32" t="s">
        <v>19</v>
      </c>
      <c r="C104" s="12" t="s">
        <v>271</v>
      </c>
      <c r="D104" s="16"/>
      <c r="E104" s="10" t="s">
        <v>194</v>
      </c>
      <c r="F104" s="42">
        <f>F105</f>
        <v>17192.500000000004</v>
      </c>
      <c r="G104" s="42">
        <f>G105</f>
        <v>17192.5</v>
      </c>
    </row>
    <row r="105" spans="1:7" ht="33">
      <c r="A105" s="32" t="s">
        <v>37</v>
      </c>
      <c r="B105" s="32" t="s">
        <v>19</v>
      </c>
      <c r="C105" s="12" t="s">
        <v>271</v>
      </c>
      <c r="D105" s="44" t="s">
        <v>108</v>
      </c>
      <c r="E105" s="10" t="s">
        <v>454</v>
      </c>
      <c r="F105" s="42">
        <f>17325.7-21.6-111.6</f>
        <v>17192.500000000004</v>
      </c>
      <c r="G105" s="42">
        <v>17192.5</v>
      </c>
    </row>
    <row r="106" spans="1:7" ht="49.5">
      <c r="A106" s="32" t="s">
        <v>37</v>
      </c>
      <c r="B106" s="32" t="s">
        <v>19</v>
      </c>
      <c r="C106" s="12" t="s">
        <v>408</v>
      </c>
      <c r="D106" s="44"/>
      <c r="E106" s="10" t="s">
        <v>409</v>
      </c>
      <c r="F106" s="42">
        <f>F107+F109+F111</f>
        <v>18933</v>
      </c>
      <c r="G106" s="42">
        <f>G107+G109+G111</f>
        <v>18903.2</v>
      </c>
    </row>
    <row r="107" spans="1:7" ht="49.5">
      <c r="A107" s="32" t="s">
        <v>37</v>
      </c>
      <c r="B107" s="32" t="s">
        <v>19</v>
      </c>
      <c r="C107" s="12" t="s">
        <v>272</v>
      </c>
      <c r="D107" s="44"/>
      <c r="E107" s="10" t="s">
        <v>243</v>
      </c>
      <c r="F107" s="42">
        <f>F108</f>
        <v>2387.5</v>
      </c>
      <c r="G107" s="42">
        <f>G108</f>
        <v>2387.5</v>
      </c>
    </row>
    <row r="108" spans="1:7" ht="33">
      <c r="A108" s="32" t="s">
        <v>37</v>
      </c>
      <c r="B108" s="32" t="s">
        <v>19</v>
      </c>
      <c r="C108" s="12" t="s">
        <v>272</v>
      </c>
      <c r="D108" s="44" t="s">
        <v>108</v>
      </c>
      <c r="E108" s="10" t="s">
        <v>454</v>
      </c>
      <c r="F108" s="42">
        <f>2500-112.5</f>
        <v>2387.5</v>
      </c>
      <c r="G108" s="16">
        <v>2387.5</v>
      </c>
    </row>
    <row r="109" spans="1:7" ht="33">
      <c r="A109" s="32" t="s">
        <v>37</v>
      </c>
      <c r="B109" s="32" t="s">
        <v>19</v>
      </c>
      <c r="C109" s="12" t="s">
        <v>273</v>
      </c>
      <c r="D109" s="44"/>
      <c r="E109" s="10" t="s">
        <v>234</v>
      </c>
      <c r="F109" s="42">
        <f>F110</f>
        <v>12089.199999999999</v>
      </c>
      <c r="G109" s="42">
        <f>G110</f>
        <v>12089.2</v>
      </c>
    </row>
    <row r="110" spans="1:7" ht="33">
      <c r="A110" s="32" t="s">
        <v>37</v>
      </c>
      <c r="B110" s="32" t="s">
        <v>19</v>
      </c>
      <c r="C110" s="12" t="s">
        <v>273</v>
      </c>
      <c r="D110" s="44" t="s">
        <v>108</v>
      </c>
      <c r="E110" s="10" t="s">
        <v>454</v>
      </c>
      <c r="F110" s="42">
        <f>500+140+13000-1285.6-265.2</f>
        <v>12089.199999999999</v>
      </c>
      <c r="G110" s="42">
        <v>12089.2</v>
      </c>
    </row>
    <row r="111" spans="1:7" ht="49.5">
      <c r="A111" s="32" t="s">
        <v>37</v>
      </c>
      <c r="B111" s="32" t="s">
        <v>19</v>
      </c>
      <c r="C111" s="12" t="s">
        <v>274</v>
      </c>
      <c r="D111" s="44"/>
      <c r="E111" s="10" t="s">
        <v>244</v>
      </c>
      <c r="F111" s="42">
        <f>F112</f>
        <v>4456.3</v>
      </c>
      <c r="G111" s="42">
        <f>G112</f>
        <v>4426.5</v>
      </c>
    </row>
    <row r="112" spans="1:7" ht="33">
      <c r="A112" s="32" t="s">
        <v>37</v>
      </c>
      <c r="B112" s="32" t="s">
        <v>19</v>
      </c>
      <c r="C112" s="12" t="s">
        <v>274</v>
      </c>
      <c r="D112" s="44" t="s">
        <v>108</v>
      </c>
      <c r="E112" s="10" t="s">
        <v>454</v>
      </c>
      <c r="F112" s="42">
        <f>6700+100-750-810-783.7</f>
        <v>4456.3</v>
      </c>
      <c r="G112" s="42">
        <f>4426.5</f>
        <v>4426.5</v>
      </c>
    </row>
    <row r="113" spans="1:7" ht="49.5">
      <c r="A113" s="32" t="s">
        <v>37</v>
      </c>
      <c r="B113" s="32" t="s">
        <v>19</v>
      </c>
      <c r="C113" s="12" t="s">
        <v>410</v>
      </c>
      <c r="D113" s="44"/>
      <c r="E113" s="10" t="s">
        <v>411</v>
      </c>
      <c r="F113" s="42">
        <f>F114</f>
        <v>10506.8</v>
      </c>
      <c r="G113" s="42">
        <f>G114</f>
        <v>10506.8</v>
      </c>
    </row>
    <row r="114" spans="1:7" ht="49.5">
      <c r="A114" s="32" t="s">
        <v>37</v>
      </c>
      <c r="B114" s="32" t="s">
        <v>19</v>
      </c>
      <c r="C114" s="12" t="s">
        <v>363</v>
      </c>
      <c r="D114" s="44"/>
      <c r="E114" s="10" t="s">
        <v>364</v>
      </c>
      <c r="F114" s="42">
        <f>F115</f>
        <v>10506.8</v>
      </c>
      <c r="G114" s="42">
        <f>G115</f>
        <v>10506.8</v>
      </c>
    </row>
    <row r="115" spans="1:7" ht="33">
      <c r="A115" s="32" t="s">
        <v>37</v>
      </c>
      <c r="B115" s="32" t="s">
        <v>19</v>
      </c>
      <c r="C115" s="12" t="s">
        <v>363</v>
      </c>
      <c r="D115" s="44" t="s">
        <v>108</v>
      </c>
      <c r="E115" s="10" t="s">
        <v>454</v>
      </c>
      <c r="F115" s="42">
        <f>11250-100-1318.4-2367.2+5902.1-1804.5-469.7-585.5</f>
        <v>10506.8</v>
      </c>
      <c r="G115" s="42">
        <v>10506.8</v>
      </c>
    </row>
    <row r="116" spans="1:7" ht="33">
      <c r="A116" s="32" t="s">
        <v>37</v>
      </c>
      <c r="B116" s="32" t="s">
        <v>19</v>
      </c>
      <c r="C116" s="12" t="s">
        <v>530</v>
      </c>
      <c r="D116" s="44"/>
      <c r="E116" s="10" t="s">
        <v>531</v>
      </c>
      <c r="F116" s="42">
        <f>F117</f>
        <v>162.7</v>
      </c>
      <c r="G116" s="42">
        <f>G117</f>
        <v>0</v>
      </c>
    </row>
    <row r="117" spans="1:7" ht="33">
      <c r="A117" s="32" t="s">
        <v>37</v>
      </c>
      <c r="B117" s="32" t="s">
        <v>19</v>
      </c>
      <c r="C117" s="12" t="s">
        <v>532</v>
      </c>
      <c r="D117" s="44"/>
      <c r="E117" s="10" t="s">
        <v>533</v>
      </c>
      <c r="F117" s="42">
        <f>F118</f>
        <v>162.7</v>
      </c>
      <c r="G117" s="42">
        <f>G118</f>
        <v>0</v>
      </c>
    </row>
    <row r="118" spans="1:7" ht="33">
      <c r="A118" s="32" t="s">
        <v>37</v>
      </c>
      <c r="B118" s="32" t="s">
        <v>19</v>
      </c>
      <c r="C118" s="12" t="s">
        <v>532</v>
      </c>
      <c r="D118" s="44" t="s">
        <v>108</v>
      </c>
      <c r="E118" s="10" t="s">
        <v>454</v>
      </c>
      <c r="F118" s="42">
        <f>150-22+34.7</f>
        <v>162.7</v>
      </c>
      <c r="G118" s="42">
        <v>0</v>
      </c>
    </row>
    <row r="119" spans="1:7" ht="33">
      <c r="A119" s="32" t="s">
        <v>37</v>
      </c>
      <c r="B119" s="32" t="s">
        <v>19</v>
      </c>
      <c r="C119" s="12" t="s">
        <v>275</v>
      </c>
      <c r="D119" s="44"/>
      <c r="E119" s="10" t="s">
        <v>241</v>
      </c>
      <c r="F119" s="42">
        <f>F120</f>
        <v>2335.6</v>
      </c>
      <c r="G119" s="42">
        <f>G120</f>
        <v>2335.6</v>
      </c>
    </row>
    <row r="120" spans="1:7" ht="49.5">
      <c r="A120" s="32" t="s">
        <v>37</v>
      </c>
      <c r="B120" s="32" t="s">
        <v>19</v>
      </c>
      <c r="C120" s="12" t="s">
        <v>412</v>
      </c>
      <c r="D120" s="44"/>
      <c r="E120" s="10" t="s">
        <v>413</v>
      </c>
      <c r="F120" s="42">
        <f>F121+F123</f>
        <v>2335.6</v>
      </c>
      <c r="G120" s="42">
        <f>G121+G123</f>
        <v>2335.6</v>
      </c>
    </row>
    <row r="121" spans="1:7" ht="33">
      <c r="A121" s="32" t="s">
        <v>37</v>
      </c>
      <c r="B121" s="32" t="s">
        <v>19</v>
      </c>
      <c r="C121" s="12" t="s">
        <v>276</v>
      </c>
      <c r="D121" s="44"/>
      <c r="E121" s="10" t="s">
        <v>242</v>
      </c>
      <c r="F121" s="42">
        <f>F122</f>
        <v>2200</v>
      </c>
      <c r="G121" s="42">
        <f>G122</f>
        <v>2200</v>
      </c>
    </row>
    <row r="122" spans="1:7" ht="33">
      <c r="A122" s="32" t="s">
        <v>37</v>
      </c>
      <c r="B122" s="32" t="s">
        <v>19</v>
      </c>
      <c r="C122" s="12" t="s">
        <v>276</v>
      </c>
      <c r="D122" s="44" t="s">
        <v>108</v>
      </c>
      <c r="E122" s="10" t="s">
        <v>454</v>
      </c>
      <c r="F122" s="42">
        <f>1500+700</f>
        <v>2200</v>
      </c>
      <c r="G122" s="42">
        <v>2200</v>
      </c>
    </row>
    <row r="123" spans="1:7" ht="12.75">
      <c r="A123" s="32" t="s">
        <v>37</v>
      </c>
      <c r="B123" s="32" t="s">
        <v>19</v>
      </c>
      <c r="C123" s="12" t="s">
        <v>547</v>
      </c>
      <c r="D123" s="44"/>
      <c r="E123" s="10" t="s">
        <v>546</v>
      </c>
      <c r="F123" s="42">
        <f>F124</f>
        <v>135.6</v>
      </c>
      <c r="G123" s="42">
        <f>G124</f>
        <v>135.6</v>
      </c>
    </row>
    <row r="124" spans="1:7" ht="33">
      <c r="A124" s="32" t="s">
        <v>37</v>
      </c>
      <c r="B124" s="32" t="s">
        <v>19</v>
      </c>
      <c r="C124" s="12" t="s">
        <v>547</v>
      </c>
      <c r="D124" s="44" t="s">
        <v>108</v>
      </c>
      <c r="E124" s="10" t="s">
        <v>454</v>
      </c>
      <c r="F124" s="42">
        <f>137-1.4</f>
        <v>135.6</v>
      </c>
      <c r="G124" s="42">
        <v>135.6</v>
      </c>
    </row>
    <row r="125" spans="1:7" ht="12.75">
      <c r="A125" s="32" t="s">
        <v>37</v>
      </c>
      <c r="B125" s="32" t="s">
        <v>85</v>
      </c>
      <c r="C125" s="12"/>
      <c r="D125" s="16"/>
      <c r="E125" s="10" t="s">
        <v>61</v>
      </c>
      <c r="F125" s="42">
        <f>F126</f>
        <v>231.9</v>
      </c>
      <c r="G125" s="42">
        <f>G126</f>
        <v>198.4</v>
      </c>
    </row>
    <row r="126" spans="1:7" ht="49.5">
      <c r="A126" s="32" t="s">
        <v>37</v>
      </c>
      <c r="B126" s="32" t="s">
        <v>85</v>
      </c>
      <c r="C126" s="12" t="s">
        <v>277</v>
      </c>
      <c r="D126" s="16"/>
      <c r="E126" s="10" t="s">
        <v>195</v>
      </c>
      <c r="F126" s="42">
        <f>F127+F136</f>
        <v>231.9</v>
      </c>
      <c r="G126" s="42">
        <f>G127+G136</f>
        <v>198.4</v>
      </c>
    </row>
    <row r="127" spans="1:7" ht="33">
      <c r="A127" s="32" t="s">
        <v>37</v>
      </c>
      <c r="B127" s="32" t="s">
        <v>85</v>
      </c>
      <c r="C127" s="12" t="s">
        <v>278</v>
      </c>
      <c r="D127" s="16"/>
      <c r="E127" s="10" t="s">
        <v>196</v>
      </c>
      <c r="F127" s="42">
        <f>F128+F131</f>
        <v>64</v>
      </c>
      <c r="G127" s="42">
        <f>G128+G131</f>
        <v>64</v>
      </c>
    </row>
    <row r="128" spans="1:7" ht="12.75">
      <c r="A128" s="32" t="s">
        <v>37</v>
      </c>
      <c r="B128" s="32" t="s">
        <v>85</v>
      </c>
      <c r="C128" s="12" t="s">
        <v>420</v>
      </c>
      <c r="D128" s="16"/>
      <c r="E128" s="30" t="s">
        <v>432</v>
      </c>
      <c r="F128" s="42">
        <f>F129</f>
        <v>20</v>
      </c>
      <c r="G128" s="42">
        <f>G129</f>
        <v>20</v>
      </c>
    </row>
    <row r="129" spans="1:7" ht="33">
      <c r="A129" s="32" t="s">
        <v>37</v>
      </c>
      <c r="B129" s="32" t="s">
        <v>85</v>
      </c>
      <c r="C129" s="9" t="s">
        <v>279</v>
      </c>
      <c r="D129" s="9"/>
      <c r="E129" s="41" t="s">
        <v>197</v>
      </c>
      <c r="F129" s="42">
        <f>F130</f>
        <v>20</v>
      </c>
      <c r="G129" s="42">
        <f>G130</f>
        <v>20</v>
      </c>
    </row>
    <row r="130" spans="1:7" ht="33">
      <c r="A130" s="32" t="s">
        <v>37</v>
      </c>
      <c r="B130" s="32" t="s">
        <v>85</v>
      </c>
      <c r="C130" s="9" t="s">
        <v>279</v>
      </c>
      <c r="D130" s="44" t="s">
        <v>108</v>
      </c>
      <c r="E130" s="10" t="s">
        <v>454</v>
      </c>
      <c r="F130" s="42">
        <v>20</v>
      </c>
      <c r="G130" s="42">
        <v>20</v>
      </c>
    </row>
    <row r="131" spans="1:7" ht="12.75">
      <c r="A131" s="32" t="s">
        <v>37</v>
      </c>
      <c r="B131" s="32" t="s">
        <v>85</v>
      </c>
      <c r="C131" s="12" t="s">
        <v>421</v>
      </c>
      <c r="D131" s="44"/>
      <c r="E131" s="30" t="s">
        <v>433</v>
      </c>
      <c r="F131" s="42">
        <f>F134+F132</f>
        <v>44</v>
      </c>
      <c r="G131" s="42">
        <f>G134+G132</f>
        <v>44</v>
      </c>
    </row>
    <row r="132" spans="1:7" ht="33">
      <c r="A132" s="32" t="s">
        <v>37</v>
      </c>
      <c r="B132" s="32" t="s">
        <v>85</v>
      </c>
      <c r="C132" s="9" t="s">
        <v>554</v>
      </c>
      <c r="D132" s="9"/>
      <c r="E132" s="10" t="s">
        <v>555</v>
      </c>
      <c r="F132" s="42">
        <f>F133</f>
        <v>32</v>
      </c>
      <c r="G132" s="42">
        <f>G133</f>
        <v>32</v>
      </c>
    </row>
    <row r="133" spans="1:7" ht="33">
      <c r="A133" s="32" t="s">
        <v>37</v>
      </c>
      <c r="B133" s="32" t="s">
        <v>85</v>
      </c>
      <c r="C133" s="9" t="s">
        <v>554</v>
      </c>
      <c r="D133" s="44" t="s">
        <v>108</v>
      </c>
      <c r="E133" s="10" t="s">
        <v>454</v>
      </c>
      <c r="F133" s="42">
        <v>32</v>
      </c>
      <c r="G133" s="42">
        <v>32</v>
      </c>
    </row>
    <row r="134" spans="1:7" ht="82.5">
      <c r="A134" s="32" t="s">
        <v>37</v>
      </c>
      <c r="B134" s="32" t="s">
        <v>85</v>
      </c>
      <c r="C134" s="9" t="s">
        <v>280</v>
      </c>
      <c r="D134" s="9"/>
      <c r="E134" s="41" t="s">
        <v>233</v>
      </c>
      <c r="F134" s="42">
        <f>F135</f>
        <v>12</v>
      </c>
      <c r="G134" s="42">
        <f>G135</f>
        <v>12</v>
      </c>
    </row>
    <row r="135" spans="1:7" ht="33">
      <c r="A135" s="32" t="s">
        <v>37</v>
      </c>
      <c r="B135" s="32" t="s">
        <v>85</v>
      </c>
      <c r="C135" s="9" t="s">
        <v>280</v>
      </c>
      <c r="D135" s="44" t="s">
        <v>108</v>
      </c>
      <c r="E135" s="10" t="s">
        <v>454</v>
      </c>
      <c r="F135" s="42">
        <f>44-32</f>
        <v>12</v>
      </c>
      <c r="G135" s="42">
        <v>12</v>
      </c>
    </row>
    <row r="136" spans="1:7" ht="33">
      <c r="A136" s="32" t="s">
        <v>37</v>
      </c>
      <c r="B136" s="32" t="s">
        <v>85</v>
      </c>
      <c r="C136" s="9" t="s">
        <v>281</v>
      </c>
      <c r="D136" s="9"/>
      <c r="E136" s="41" t="s">
        <v>198</v>
      </c>
      <c r="F136" s="42">
        <f>F137</f>
        <v>167.9</v>
      </c>
      <c r="G136" s="42">
        <f>G137</f>
        <v>134.4</v>
      </c>
    </row>
    <row r="137" spans="1:7" ht="12.75">
      <c r="A137" s="32" t="s">
        <v>37</v>
      </c>
      <c r="B137" s="32" t="s">
        <v>85</v>
      </c>
      <c r="C137" s="9" t="s">
        <v>422</v>
      </c>
      <c r="D137" s="9"/>
      <c r="E137" s="30" t="s">
        <v>434</v>
      </c>
      <c r="F137" s="42">
        <f>F138+F140</f>
        <v>167.9</v>
      </c>
      <c r="G137" s="42">
        <f>G138+G140</f>
        <v>134.4</v>
      </c>
    </row>
    <row r="138" spans="1:7" ht="33">
      <c r="A138" s="32" t="s">
        <v>37</v>
      </c>
      <c r="B138" s="32" t="s">
        <v>85</v>
      </c>
      <c r="C138" s="9" t="s">
        <v>282</v>
      </c>
      <c r="D138" s="9"/>
      <c r="E138" s="41" t="s">
        <v>199</v>
      </c>
      <c r="F138" s="42">
        <f>F139</f>
        <v>3.5</v>
      </c>
      <c r="G138" s="42">
        <f>G139</f>
        <v>3.5</v>
      </c>
    </row>
    <row r="139" spans="1:7" ht="33">
      <c r="A139" s="32" t="s">
        <v>37</v>
      </c>
      <c r="B139" s="32" t="s">
        <v>85</v>
      </c>
      <c r="C139" s="9" t="s">
        <v>282</v>
      </c>
      <c r="D139" s="44" t="s">
        <v>108</v>
      </c>
      <c r="E139" s="10" t="s">
        <v>454</v>
      </c>
      <c r="F139" s="42">
        <f>5.2-1.7</f>
        <v>3.5</v>
      </c>
      <c r="G139" s="42">
        <v>3.5</v>
      </c>
    </row>
    <row r="140" spans="1:7" ht="33">
      <c r="A140" s="32" t="s">
        <v>37</v>
      </c>
      <c r="B140" s="32" t="s">
        <v>85</v>
      </c>
      <c r="C140" s="9" t="s">
        <v>283</v>
      </c>
      <c r="D140" s="9"/>
      <c r="E140" s="41" t="s">
        <v>200</v>
      </c>
      <c r="F140" s="42">
        <f>F141</f>
        <v>164.4</v>
      </c>
      <c r="G140" s="42">
        <f>G141</f>
        <v>130.9</v>
      </c>
    </row>
    <row r="141" spans="1:7" ht="12.75">
      <c r="A141" s="32" t="s">
        <v>37</v>
      </c>
      <c r="B141" s="32" t="s">
        <v>85</v>
      </c>
      <c r="C141" s="9" t="s">
        <v>283</v>
      </c>
      <c r="D141" s="44" t="s">
        <v>109</v>
      </c>
      <c r="E141" s="46" t="s">
        <v>110</v>
      </c>
      <c r="F141" s="42">
        <v>164.4</v>
      </c>
      <c r="G141" s="42">
        <v>130.9</v>
      </c>
    </row>
    <row r="142" spans="1:7" ht="12.75">
      <c r="A142" s="32" t="s">
        <v>37</v>
      </c>
      <c r="B142" s="32" t="s">
        <v>95</v>
      </c>
      <c r="C142" s="9"/>
      <c r="D142" s="9"/>
      <c r="E142" s="41" t="s">
        <v>62</v>
      </c>
      <c r="F142" s="42">
        <f>F143+F154</f>
        <v>24562.7</v>
      </c>
      <c r="G142" s="42">
        <f>G143+G154</f>
        <v>18143.5</v>
      </c>
    </row>
    <row r="143" spans="1:7" ht="12.75">
      <c r="A143" s="32" t="s">
        <v>37</v>
      </c>
      <c r="B143" s="32" t="s">
        <v>86</v>
      </c>
      <c r="C143" s="9"/>
      <c r="D143" s="9"/>
      <c r="E143" s="11" t="s">
        <v>63</v>
      </c>
      <c r="F143" s="42">
        <f>F144</f>
        <v>6869.900000000001</v>
      </c>
      <c r="G143" s="42">
        <f>G144</f>
        <v>1150</v>
      </c>
    </row>
    <row r="144" spans="1:7" ht="49.5">
      <c r="A144" s="32" t="s">
        <v>37</v>
      </c>
      <c r="B144" s="32" t="s">
        <v>86</v>
      </c>
      <c r="C144" s="9" t="s">
        <v>266</v>
      </c>
      <c r="D144" s="9"/>
      <c r="E144" s="41" t="s">
        <v>203</v>
      </c>
      <c r="F144" s="42">
        <f>F149+F145</f>
        <v>6869.900000000001</v>
      </c>
      <c r="G144" s="42">
        <f>G149+G145</f>
        <v>1150</v>
      </c>
    </row>
    <row r="145" spans="1:7" ht="33">
      <c r="A145" s="32" t="s">
        <v>37</v>
      </c>
      <c r="B145" s="32" t="s">
        <v>86</v>
      </c>
      <c r="C145" s="9" t="s">
        <v>534</v>
      </c>
      <c r="D145" s="9"/>
      <c r="E145" s="35" t="s">
        <v>535</v>
      </c>
      <c r="F145" s="42">
        <f aca="true" t="shared" si="9" ref="F145:G147">F146</f>
        <v>1150</v>
      </c>
      <c r="G145" s="42">
        <f t="shared" si="9"/>
        <v>1150</v>
      </c>
    </row>
    <row r="146" spans="1:7" ht="12.75">
      <c r="A146" s="32" t="s">
        <v>37</v>
      </c>
      <c r="B146" s="32" t="s">
        <v>86</v>
      </c>
      <c r="C146" s="9" t="s">
        <v>536</v>
      </c>
      <c r="D146" s="9"/>
      <c r="E146" s="41" t="s">
        <v>537</v>
      </c>
      <c r="F146" s="42">
        <f t="shared" si="9"/>
        <v>1150</v>
      </c>
      <c r="G146" s="42">
        <f t="shared" si="9"/>
        <v>1150</v>
      </c>
    </row>
    <row r="147" spans="1:7" ht="33">
      <c r="A147" s="32" t="s">
        <v>37</v>
      </c>
      <c r="B147" s="32" t="s">
        <v>86</v>
      </c>
      <c r="C147" s="9" t="s">
        <v>539</v>
      </c>
      <c r="D147" s="9"/>
      <c r="E147" s="35" t="s">
        <v>538</v>
      </c>
      <c r="F147" s="42">
        <f t="shared" si="9"/>
        <v>1150</v>
      </c>
      <c r="G147" s="42">
        <f t="shared" si="9"/>
        <v>1150</v>
      </c>
    </row>
    <row r="148" spans="1:7" ht="33">
      <c r="A148" s="32" t="s">
        <v>37</v>
      </c>
      <c r="B148" s="32" t="s">
        <v>86</v>
      </c>
      <c r="C148" s="9" t="s">
        <v>539</v>
      </c>
      <c r="D148" s="9" t="s">
        <v>108</v>
      </c>
      <c r="E148" s="10" t="s">
        <v>454</v>
      </c>
      <c r="F148" s="42">
        <v>1150</v>
      </c>
      <c r="G148" s="42">
        <v>1150</v>
      </c>
    </row>
    <row r="149" spans="1:7" ht="33">
      <c r="A149" s="32" t="s">
        <v>37</v>
      </c>
      <c r="B149" s="32" t="s">
        <v>86</v>
      </c>
      <c r="C149" s="9" t="s">
        <v>285</v>
      </c>
      <c r="D149" s="9"/>
      <c r="E149" s="41" t="s">
        <v>236</v>
      </c>
      <c r="F149" s="42">
        <f>F150</f>
        <v>5719.900000000001</v>
      </c>
      <c r="G149" s="42">
        <f>G150</f>
        <v>0</v>
      </c>
    </row>
    <row r="150" spans="1:7" ht="12.75">
      <c r="A150" s="32" t="s">
        <v>37</v>
      </c>
      <c r="B150" s="32" t="s">
        <v>86</v>
      </c>
      <c r="C150" s="9" t="s">
        <v>400</v>
      </c>
      <c r="D150" s="9"/>
      <c r="E150" s="41" t="s">
        <v>401</v>
      </c>
      <c r="F150" s="42">
        <f>F151</f>
        <v>5719.900000000001</v>
      </c>
      <c r="G150" s="42">
        <f>G151</f>
        <v>0</v>
      </c>
    </row>
    <row r="151" spans="1:7" ht="33">
      <c r="A151" s="32" t="s">
        <v>37</v>
      </c>
      <c r="B151" s="32" t="s">
        <v>86</v>
      </c>
      <c r="C151" s="9" t="s">
        <v>286</v>
      </c>
      <c r="D151" s="9"/>
      <c r="E151" s="41" t="s">
        <v>237</v>
      </c>
      <c r="F151" s="42">
        <f>F153+F152</f>
        <v>5719.900000000001</v>
      </c>
      <c r="G151" s="42">
        <f>G153+G152</f>
        <v>0</v>
      </c>
    </row>
    <row r="152" spans="1:7" ht="33">
      <c r="A152" s="32" t="s">
        <v>37</v>
      </c>
      <c r="B152" s="32" t="s">
        <v>86</v>
      </c>
      <c r="C152" s="9" t="s">
        <v>286</v>
      </c>
      <c r="D152" s="9" t="s">
        <v>108</v>
      </c>
      <c r="E152" s="10" t="s">
        <v>454</v>
      </c>
      <c r="F152" s="42">
        <v>79.1</v>
      </c>
      <c r="G152" s="42">
        <v>0</v>
      </c>
    </row>
    <row r="153" spans="1:7" ht="33">
      <c r="A153" s="32" t="s">
        <v>37</v>
      </c>
      <c r="B153" s="32" t="s">
        <v>86</v>
      </c>
      <c r="C153" s="9" t="s">
        <v>286</v>
      </c>
      <c r="D153" s="44">
        <v>400</v>
      </c>
      <c r="E153" s="10" t="s">
        <v>180</v>
      </c>
      <c r="F153" s="42">
        <f>1500+1318.4+2951.7-79.1-50.2</f>
        <v>5640.8</v>
      </c>
      <c r="G153" s="42">
        <v>0</v>
      </c>
    </row>
    <row r="154" spans="1:7" ht="12.75">
      <c r="A154" s="32" t="s">
        <v>37</v>
      </c>
      <c r="B154" s="32" t="s">
        <v>87</v>
      </c>
      <c r="C154" s="9"/>
      <c r="D154" s="16"/>
      <c r="E154" s="10" t="s">
        <v>64</v>
      </c>
      <c r="F154" s="42">
        <f>F155</f>
        <v>17692.8</v>
      </c>
      <c r="G154" s="42">
        <f>G155</f>
        <v>16993.5</v>
      </c>
    </row>
    <row r="155" spans="1:7" ht="49.5">
      <c r="A155" s="32" t="s">
        <v>37</v>
      </c>
      <c r="B155" s="32" t="s">
        <v>87</v>
      </c>
      <c r="C155" s="9" t="s">
        <v>266</v>
      </c>
      <c r="D155" s="9"/>
      <c r="E155" s="41" t="s">
        <v>203</v>
      </c>
      <c r="F155" s="42">
        <f aca="true" t="shared" si="10" ref="F155:G155">F156</f>
        <v>17692.8</v>
      </c>
      <c r="G155" s="42">
        <f t="shared" si="10"/>
        <v>16993.5</v>
      </c>
    </row>
    <row r="156" spans="1:7" ht="33">
      <c r="A156" s="32" t="s">
        <v>37</v>
      </c>
      <c r="B156" s="32" t="s">
        <v>87</v>
      </c>
      <c r="C156" s="9" t="s">
        <v>267</v>
      </c>
      <c r="D156" s="9"/>
      <c r="E156" s="41" t="s">
        <v>204</v>
      </c>
      <c r="F156" s="42">
        <f>F157+F172</f>
        <v>17692.8</v>
      </c>
      <c r="G156" s="42">
        <f>G157+G172</f>
        <v>16993.5</v>
      </c>
    </row>
    <row r="157" spans="1:7" ht="33">
      <c r="A157" s="32" t="s">
        <v>37</v>
      </c>
      <c r="B157" s="32" t="s">
        <v>87</v>
      </c>
      <c r="C157" s="9" t="s">
        <v>402</v>
      </c>
      <c r="D157" s="9"/>
      <c r="E157" s="41" t="s">
        <v>403</v>
      </c>
      <c r="F157" s="42">
        <f>F160+F162+F164+F166+F170+F168+F158</f>
        <v>17436.3</v>
      </c>
      <c r="G157" s="42">
        <f>G160+G162+G164+G166+G170+G168+G158</f>
        <v>16737</v>
      </c>
    </row>
    <row r="158" spans="1:7" ht="33">
      <c r="A158" s="32" t="s">
        <v>37</v>
      </c>
      <c r="B158" s="32" t="s">
        <v>87</v>
      </c>
      <c r="C158" s="9" t="s">
        <v>508</v>
      </c>
      <c r="D158" s="9"/>
      <c r="E158" s="41" t="s">
        <v>509</v>
      </c>
      <c r="F158" s="42">
        <f>F159</f>
        <v>255.1</v>
      </c>
      <c r="G158" s="42">
        <f>G159</f>
        <v>195.2</v>
      </c>
    </row>
    <row r="159" spans="1:7" ht="33">
      <c r="A159" s="32" t="s">
        <v>37</v>
      </c>
      <c r="B159" s="32" t="s">
        <v>87</v>
      </c>
      <c r="C159" s="9" t="s">
        <v>508</v>
      </c>
      <c r="D159" s="9" t="s">
        <v>108</v>
      </c>
      <c r="E159" s="10" t="s">
        <v>454</v>
      </c>
      <c r="F159" s="42">
        <v>255.1</v>
      </c>
      <c r="G159" s="42">
        <f>195.1+0.1</f>
        <v>195.2</v>
      </c>
    </row>
    <row r="160" spans="1:7" ht="12.75">
      <c r="A160" s="32" t="s">
        <v>37</v>
      </c>
      <c r="B160" s="32" t="s">
        <v>87</v>
      </c>
      <c r="C160" s="9" t="s">
        <v>287</v>
      </c>
      <c r="D160" s="9"/>
      <c r="E160" s="41" t="s">
        <v>205</v>
      </c>
      <c r="F160" s="42">
        <f>F161</f>
        <v>12662.6</v>
      </c>
      <c r="G160" s="42">
        <f>G161</f>
        <v>12023.2</v>
      </c>
    </row>
    <row r="161" spans="1:7" ht="33">
      <c r="A161" s="32" t="s">
        <v>37</v>
      </c>
      <c r="B161" s="32" t="s">
        <v>87</v>
      </c>
      <c r="C161" s="9" t="s">
        <v>287</v>
      </c>
      <c r="D161" s="9" t="s">
        <v>108</v>
      </c>
      <c r="E161" s="10" t="s">
        <v>454</v>
      </c>
      <c r="F161" s="42">
        <f>11024-18+2540.3-876.4-7.3</f>
        <v>12662.6</v>
      </c>
      <c r="G161" s="42">
        <v>12023.2</v>
      </c>
    </row>
    <row r="162" spans="1:7" ht="12.75">
      <c r="A162" s="32" t="s">
        <v>37</v>
      </c>
      <c r="B162" s="32" t="s">
        <v>87</v>
      </c>
      <c r="C162" s="9" t="s">
        <v>288</v>
      </c>
      <c r="D162" s="9"/>
      <c r="E162" s="41" t="s">
        <v>206</v>
      </c>
      <c r="F162" s="42">
        <f>F163</f>
        <v>809.0999999999999</v>
      </c>
      <c r="G162" s="42">
        <f>G163</f>
        <v>809.1</v>
      </c>
    </row>
    <row r="163" spans="1:7" ht="33">
      <c r="A163" s="32" t="s">
        <v>37</v>
      </c>
      <c r="B163" s="32" t="s">
        <v>87</v>
      </c>
      <c r="C163" s="9" t="s">
        <v>288</v>
      </c>
      <c r="D163" s="9" t="s">
        <v>108</v>
      </c>
      <c r="E163" s="10" t="s">
        <v>454</v>
      </c>
      <c r="F163" s="42">
        <f>527.3+300-18.2</f>
        <v>809.0999999999999</v>
      </c>
      <c r="G163" s="42">
        <v>809.1</v>
      </c>
    </row>
    <row r="164" spans="1:7" ht="12.75">
      <c r="A164" s="32" t="s">
        <v>37</v>
      </c>
      <c r="B164" s="32" t="s">
        <v>87</v>
      </c>
      <c r="C164" s="9" t="s">
        <v>289</v>
      </c>
      <c r="D164" s="9"/>
      <c r="E164" s="41" t="s">
        <v>207</v>
      </c>
      <c r="F164" s="42">
        <f>F165</f>
        <v>3282.9</v>
      </c>
      <c r="G164" s="42">
        <f>G165</f>
        <v>3282.9</v>
      </c>
    </row>
    <row r="165" spans="1:7" ht="33">
      <c r="A165" s="32" t="s">
        <v>37</v>
      </c>
      <c r="B165" s="32" t="s">
        <v>87</v>
      </c>
      <c r="C165" s="9" t="s">
        <v>289</v>
      </c>
      <c r="D165" s="9" t="s">
        <v>108</v>
      </c>
      <c r="E165" s="10" t="s">
        <v>454</v>
      </c>
      <c r="F165" s="42">
        <f>1621.2+700-16.2-14+110.9+876.4+14.6-10</f>
        <v>3282.9</v>
      </c>
      <c r="G165" s="42">
        <v>3282.9</v>
      </c>
    </row>
    <row r="166" spans="1:7" ht="12.75">
      <c r="A166" s="32" t="s">
        <v>37</v>
      </c>
      <c r="B166" s="32" t="s">
        <v>87</v>
      </c>
      <c r="C166" s="9" t="s">
        <v>290</v>
      </c>
      <c r="D166" s="9"/>
      <c r="E166" s="41" t="s">
        <v>208</v>
      </c>
      <c r="F166" s="42">
        <f>F167</f>
        <v>123.7</v>
      </c>
      <c r="G166" s="42">
        <f>G167</f>
        <v>123.7</v>
      </c>
    </row>
    <row r="167" spans="1:7" ht="33">
      <c r="A167" s="32" t="s">
        <v>37</v>
      </c>
      <c r="B167" s="32" t="s">
        <v>87</v>
      </c>
      <c r="C167" s="9" t="s">
        <v>290</v>
      </c>
      <c r="D167" s="9" t="s">
        <v>108</v>
      </c>
      <c r="E167" s="10" t="s">
        <v>454</v>
      </c>
      <c r="F167" s="42">
        <f>145.9-22.2</f>
        <v>123.7</v>
      </c>
      <c r="G167" s="42">
        <v>123.7</v>
      </c>
    </row>
    <row r="168" spans="1:7" ht="49.5">
      <c r="A168" s="32" t="s">
        <v>37</v>
      </c>
      <c r="B168" s="32" t="s">
        <v>87</v>
      </c>
      <c r="C168" s="9" t="s">
        <v>482</v>
      </c>
      <c r="D168" s="9"/>
      <c r="E168" s="41" t="s">
        <v>483</v>
      </c>
      <c r="F168" s="42">
        <f>F169</f>
        <v>105.6</v>
      </c>
      <c r="G168" s="42">
        <f>G169</f>
        <v>105.6</v>
      </c>
    </row>
    <row r="169" spans="1:7" ht="33">
      <c r="A169" s="32" t="s">
        <v>37</v>
      </c>
      <c r="B169" s="32" t="s">
        <v>87</v>
      </c>
      <c r="C169" s="9" t="s">
        <v>482</v>
      </c>
      <c r="D169" s="9" t="s">
        <v>108</v>
      </c>
      <c r="E169" s="10" t="s">
        <v>454</v>
      </c>
      <c r="F169" s="42">
        <f>50+60-4.4</f>
        <v>105.6</v>
      </c>
      <c r="G169" s="42">
        <v>105.6</v>
      </c>
    </row>
    <row r="170" spans="1:7" ht="12.75">
      <c r="A170" s="32" t="s">
        <v>37</v>
      </c>
      <c r="B170" s="32" t="s">
        <v>87</v>
      </c>
      <c r="C170" s="9" t="s">
        <v>361</v>
      </c>
      <c r="D170" s="9"/>
      <c r="E170" s="41" t="s">
        <v>209</v>
      </c>
      <c r="F170" s="42">
        <f>F171</f>
        <v>197.3</v>
      </c>
      <c r="G170" s="42">
        <f>G171</f>
        <v>197.3</v>
      </c>
    </row>
    <row r="171" spans="1:7" ht="33">
      <c r="A171" s="32" t="s">
        <v>37</v>
      </c>
      <c r="B171" s="32" t="s">
        <v>87</v>
      </c>
      <c r="C171" s="9" t="s">
        <v>361</v>
      </c>
      <c r="D171" s="9" t="s">
        <v>108</v>
      </c>
      <c r="E171" s="10" t="s">
        <v>454</v>
      </c>
      <c r="F171" s="42">
        <f>224+34-60.7</f>
        <v>197.3</v>
      </c>
      <c r="G171" s="42">
        <v>197.3</v>
      </c>
    </row>
    <row r="172" spans="1:7" ht="49.5">
      <c r="A172" s="32" t="s">
        <v>37</v>
      </c>
      <c r="B172" s="32" t="s">
        <v>87</v>
      </c>
      <c r="C172" s="9" t="s">
        <v>404</v>
      </c>
      <c r="D172" s="9"/>
      <c r="E172" s="41" t="s">
        <v>405</v>
      </c>
      <c r="F172" s="42">
        <f>F173</f>
        <v>256.5</v>
      </c>
      <c r="G172" s="42">
        <f>G173</f>
        <v>256.5</v>
      </c>
    </row>
    <row r="173" spans="1:7" ht="33">
      <c r="A173" s="32" t="s">
        <v>37</v>
      </c>
      <c r="B173" s="32" t="s">
        <v>87</v>
      </c>
      <c r="C173" s="9" t="s">
        <v>291</v>
      </c>
      <c r="D173" s="9"/>
      <c r="E173" s="41" t="s">
        <v>210</v>
      </c>
      <c r="F173" s="42">
        <f>F174</f>
        <v>256.5</v>
      </c>
      <c r="G173" s="42">
        <f>G174</f>
        <v>256.5</v>
      </c>
    </row>
    <row r="174" spans="1:7" ht="33">
      <c r="A174" s="32" t="s">
        <v>37</v>
      </c>
      <c r="B174" s="32" t="s">
        <v>87</v>
      </c>
      <c r="C174" s="9" t="s">
        <v>291</v>
      </c>
      <c r="D174" s="9" t="s">
        <v>108</v>
      </c>
      <c r="E174" s="10" t="s">
        <v>454</v>
      </c>
      <c r="F174" s="42">
        <f>265.8-2-7.3</f>
        <v>256.5</v>
      </c>
      <c r="G174" s="42">
        <v>256.5</v>
      </c>
    </row>
    <row r="175" spans="1:7" ht="12.75">
      <c r="A175" s="32" t="s">
        <v>37</v>
      </c>
      <c r="B175" s="32" t="s">
        <v>73</v>
      </c>
      <c r="C175" s="9"/>
      <c r="D175" s="9"/>
      <c r="E175" s="41" t="s">
        <v>65</v>
      </c>
      <c r="F175" s="42">
        <f>F176+F184</f>
        <v>17624.8</v>
      </c>
      <c r="G175" s="42">
        <f>G176+G184</f>
        <v>17365.3</v>
      </c>
    </row>
    <row r="176" spans="1:7" ht="12.75">
      <c r="A176" s="32" t="s">
        <v>37</v>
      </c>
      <c r="B176" s="32" t="s">
        <v>89</v>
      </c>
      <c r="C176" s="9"/>
      <c r="D176" s="9"/>
      <c r="E176" s="41" t="s">
        <v>27</v>
      </c>
      <c r="F176" s="42">
        <f aca="true" t="shared" si="11" ref="F176:G180">F177</f>
        <v>16813.7</v>
      </c>
      <c r="G176" s="42">
        <f t="shared" si="11"/>
        <v>16813.7</v>
      </c>
    </row>
    <row r="177" spans="1:7" ht="33">
      <c r="A177" s="32" t="s">
        <v>37</v>
      </c>
      <c r="B177" s="32" t="s">
        <v>89</v>
      </c>
      <c r="C177" s="9" t="s">
        <v>292</v>
      </c>
      <c r="D177" s="9"/>
      <c r="E177" s="41" t="s">
        <v>174</v>
      </c>
      <c r="F177" s="42">
        <f t="shared" si="11"/>
        <v>16813.7</v>
      </c>
      <c r="G177" s="42">
        <f t="shared" si="11"/>
        <v>16813.7</v>
      </c>
    </row>
    <row r="178" spans="1:7" ht="33">
      <c r="A178" s="32" t="s">
        <v>37</v>
      </c>
      <c r="B178" s="32" t="s">
        <v>89</v>
      </c>
      <c r="C178" s="9" t="s">
        <v>293</v>
      </c>
      <c r="D178" s="9"/>
      <c r="E178" s="41" t="s">
        <v>175</v>
      </c>
      <c r="F178" s="42">
        <f t="shared" si="11"/>
        <v>16813.7</v>
      </c>
      <c r="G178" s="42">
        <f t="shared" si="11"/>
        <v>16813.7</v>
      </c>
    </row>
    <row r="179" spans="1:7" ht="12.75">
      <c r="A179" s="32" t="s">
        <v>37</v>
      </c>
      <c r="B179" s="32" t="s">
        <v>89</v>
      </c>
      <c r="C179" s="9" t="s">
        <v>390</v>
      </c>
      <c r="D179" s="16"/>
      <c r="E179" s="10" t="s">
        <v>391</v>
      </c>
      <c r="F179" s="42">
        <f>F180+F182</f>
        <v>16813.7</v>
      </c>
      <c r="G179" s="42">
        <f>G180+G182</f>
        <v>16813.7</v>
      </c>
    </row>
    <row r="180" spans="1:7" ht="33">
      <c r="A180" s="32" t="s">
        <v>37</v>
      </c>
      <c r="B180" s="32" t="s">
        <v>89</v>
      </c>
      <c r="C180" s="9" t="s">
        <v>294</v>
      </c>
      <c r="D180" s="9"/>
      <c r="E180" s="41" t="s">
        <v>214</v>
      </c>
      <c r="F180" s="42">
        <f t="shared" si="11"/>
        <v>15000.9</v>
      </c>
      <c r="G180" s="42">
        <f t="shared" si="11"/>
        <v>15000.9</v>
      </c>
    </row>
    <row r="181" spans="1:7" ht="33">
      <c r="A181" s="32" t="s">
        <v>37</v>
      </c>
      <c r="B181" s="32" t="s">
        <v>89</v>
      </c>
      <c r="C181" s="9" t="s">
        <v>294</v>
      </c>
      <c r="D181" s="16">
        <v>600</v>
      </c>
      <c r="E181" s="10" t="s">
        <v>131</v>
      </c>
      <c r="F181" s="42">
        <f>14922+10+68.9</f>
        <v>15000.9</v>
      </c>
      <c r="G181" s="42">
        <v>15000.9</v>
      </c>
    </row>
    <row r="182" spans="1:7" ht="33">
      <c r="A182" s="32" t="s">
        <v>37</v>
      </c>
      <c r="B182" s="32" t="s">
        <v>89</v>
      </c>
      <c r="C182" s="9" t="s">
        <v>459</v>
      </c>
      <c r="D182" s="16"/>
      <c r="E182" s="10" t="s">
        <v>460</v>
      </c>
      <c r="F182" s="42">
        <f>F183</f>
        <v>1812.8</v>
      </c>
      <c r="G182" s="42">
        <f>G183</f>
        <v>1812.8</v>
      </c>
    </row>
    <row r="183" spans="1:7" ht="33">
      <c r="A183" s="32" t="s">
        <v>37</v>
      </c>
      <c r="B183" s="32" t="s">
        <v>89</v>
      </c>
      <c r="C183" s="9" t="s">
        <v>459</v>
      </c>
      <c r="D183" s="16">
        <v>600</v>
      </c>
      <c r="E183" s="10" t="s">
        <v>131</v>
      </c>
      <c r="F183" s="42">
        <v>1812.8</v>
      </c>
      <c r="G183" s="42">
        <v>1812.8</v>
      </c>
    </row>
    <row r="184" spans="1:7" ht="12.75">
      <c r="A184" s="32" t="s">
        <v>37</v>
      </c>
      <c r="B184" s="12" t="s">
        <v>74</v>
      </c>
      <c r="C184" s="12"/>
      <c r="D184" s="16"/>
      <c r="E184" s="10" t="s">
        <v>643</v>
      </c>
      <c r="F184" s="42">
        <f aca="true" t="shared" si="12" ref="F184:G188">F185</f>
        <v>811.1</v>
      </c>
      <c r="G184" s="42">
        <f t="shared" si="12"/>
        <v>551.6</v>
      </c>
    </row>
    <row r="185" spans="1:7" ht="33">
      <c r="A185" s="32" t="s">
        <v>37</v>
      </c>
      <c r="B185" s="12" t="s">
        <v>74</v>
      </c>
      <c r="C185" s="12" t="s">
        <v>330</v>
      </c>
      <c r="D185" s="16"/>
      <c r="E185" s="10" t="s">
        <v>127</v>
      </c>
      <c r="F185" s="42">
        <f t="shared" si="12"/>
        <v>811.1</v>
      </c>
      <c r="G185" s="42">
        <f t="shared" si="12"/>
        <v>551.6</v>
      </c>
    </row>
    <row r="186" spans="1:7" ht="66">
      <c r="A186" s="32" t="s">
        <v>37</v>
      </c>
      <c r="B186" s="12" t="s">
        <v>74</v>
      </c>
      <c r="C186" s="12" t="s">
        <v>486</v>
      </c>
      <c r="D186" s="16"/>
      <c r="E186" s="10" t="s">
        <v>503</v>
      </c>
      <c r="F186" s="42">
        <f t="shared" si="12"/>
        <v>811.1</v>
      </c>
      <c r="G186" s="42">
        <f t="shared" si="12"/>
        <v>551.6</v>
      </c>
    </row>
    <row r="187" spans="1:7" ht="66">
      <c r="A187" s="32" t="s">
        <v>37</v>
      </c>
      <c r="B187" s="12" t="s">
        <v>74</v>
      </c>
      <c r="C187" s="12" t="s">
        <v>488</v>
      </c>
      <c r="D187" s="16"/>
      <c r="E187" s="10" t="s">
        <v>489</v>
      </c>
      <c r="F187" s="42">
        <f t="shared" si="12"/>
        <v>811.1</v>
      </c>
      <c r="G187" s="42">
        <f t="shared" si="12"/>
        <v>551.6</v>
      </c>
    </row>
    <row r="188" spans="1:7" ht="66">
      <c r="A188" s="32" t="s">
        <v>37</v>
      </c>
      <c r="B188" s="12" t="s">
        <v>74</v>
      </c>
      <c r="C188" s="12" t="s">
        <v>491</v>
      </c>
      <c r="D188" s="16"/>
      <c r="E188" s="10" t="s">
        <v>490</v>
      </c>
      <c r="F188" s="42">
        <f t="shared" si="12"/>
        <v>811.1</v>
      </c>
      <c r="G188" s="42">
        <f t="shared" si="12"/>
        <v>551.6</v>
      </c>
    </row>
    <row r="189" spans="1:7" ht="33">
      <c r="A189" s="32" t="s">
        <v>37</v>
      </c>
      <c r="B189" s="12" t="s">
        <v>74</v>
      </c>
      <c r="C189" s="12" t="s">
        <v>491</v>
      </c>
      <c r="D189" s="9" t="s">
        <v>108</v>
      </c>
      <c r="E189" s="10" t="s">
        <v>454</v>
      </c>
      <c r="F189" s="42">
        <v>811.1</v>
      </c>
      <c r="G189" s="42">
        <v>551.6</v>
      </c>
    </row>
    <row r="190" spans="1:7" ht="12.75">
      <c r="A190" s="32" t="s">
        <v>37</v>
      </c>
      <c r="B190" s="32" t="s">
        <v>77</v>
      </c>
      <c r="C190" s="9"/>
      <c r="D190" s="44"/>
      <c r="E190" s="10" t="s">
        <v>124</v>
      </c>
      <c r="F190" s="42">
        <f aca="true" t="shared" si="13" ref="F190:G191">F191</f>
        <v>23094.1</v>
      </c>
      <c r="G190" s="42">
        <f t="shared" si="13"/>
        <v>22992.5</v>
      </c>
    </row>
    <row r="191" spans="1:7" ht="12.75">
      <c r="A191" s="32" t="s">
        <v>37</v>
      </c>
      <c r="B191" s="32" t="s">
        <v>78</v>
      </c>
      <c r="C191" s="9"/>
      <c r="D191" s="44"/>
      <c r="E191" s="10" t="s">
        <v>30</v>
      </c>
      <c r="F191" s="42">
        <f t="shared" si="13"/>
        <v>23094.1</v>
      </c>
      <c r="G191" s="42">
        <f t="shared" si="13"/>
        <v>22992.5</v>
      </c>
    </row>
    <row r="192" spans="1:7" ht="33">
      <c r="A192" s="32" t="s">
        <v>37</v>
      </c>
      <c r="B192" s="32" t="s">
        <v>78</v>
      </c>
      <c r="C192" s="9" t="s">
        <v>292</v>
      </c>
      <c r="D192" s="9"/>
      <c r="E192" s="41" t="s">
        <v>174</v>
      </c>
      <c r="F192" s="42">
        <f>F193</f>
        <v>23094.1</v>
      </c>
      <c r="G192" s="42">
        <f>G193</f>
        <v>22992.5</v>
      </c>
    </row>
    <row r="193" spans="1:7" ht="33">
      <c r="A193" s="32" t="s">
        <v>37</v>
      </c>
      <c r="B193" s="32" t="s">
        <v>78</v>
      </c>
      <c r="C193" s="9" t="s">
        <v>293</v>
      </c>
      <c r="D193" s="9"/>
      <c r="E193" s="41" t="s">
        <v>175</v>
      </c>
      <c r="F193" s="42">
        <f>F194+F209+F216</f>
        <v>23094.1</v>
      </c>
      <c r="G193" s="42">
        <f>G194+G209+G216</f>
        <v>22992.5</v>
      </c>
    </row>
    <row r="194" spans="1:7" ht="12.75">
      <c r="A194" s="32" t="s">
        <v>37</v>
      </c>
      <c r="B194" s="32" t="s">
        <v>78</v>
      </c>
      <c r="C194" s="9" t="s">
        <v>386</v>
      </c>
      <c r="D194" s="9"/>
      <c r="E194" s="41" t="s">
        <v>387</v>
      </c>
      <c r="F194" s="42">
        <f>F195+F201+F203+F207+F197+F199</f>
        <v>9569.9</v>
      </c>
      <c r="G194" s="42">
        <f>G195+G201+G203+G207+G197+G199</f>
        <v>9468.3</v>
      </c>
    </row>
    <row r="195" spans="1:7" ht="33">
      <c r="A195" s="32" t="s">
        <v>37</v>
      </c>
      <c r="B195" s="32" t="s">
        <v>78</v>
      </c>
      <c r="C195" s="9" t="s">
        <v>297</v>
      </c>
      <c r="D195" s="9"/>
      <c r="E195" s="10" t="s">
        <v>245</v>
      </c>
      <c r="F195" s="42">
        <f>F196</f>
        <v>837.5</v>
      </c>
      <c r="G195" s="42">
        <f>G196</f>
        <v>837.5</v>
      </c>
    </row>
    <row r="196" spans="1:7" ht="33">
      <c r="A196" s="32" t="s">
        <v>37</v>
      </c>
      <c r="B196" s="32" t="s">
        <v>78</v>
      </c>
      <c r="C196" s="9" t="s">
        <v>297</v>
      </c>
      <c r="D196" s="9" t="s">
        <v>108</v>
      </c>
      <c r="E196" s="10" t="s">
        <v>454</v>
      </c>
      <c r="F196" s="42">
        <f>150+710.6-23.1</f>
        <v>837.5</v>
      </c>
      <c r="G196" s="42">
        <v>837.5</v>
      </c>
    </row>
    <row r="197" spans="1:7" ht="33">
      <c r="A197" s="32" t="s">
        <v>37</v>
      </c>
      <c r="B197" s="32" t="s">
        <v>78</v>
      </c>
      <c r="C197" s="9" t="s">
        <v>550</v>
      </c>
      <c r="D197" s="9"/>
      <c r="E197" s="10" t="s">
        <v>552</v>
      </c>
      <c r="F197" s="42">
        <f>F198</f>
        <v>55.5</v>
      </c>
      <c r="G197" s="42">
        <f>G198</f>
        <v>55.5</v>
      </c>
    </row>
    <row r="198" spans="1:7" ht="33">
      <c r="A198" s="32" t="s">
        <v>37</v>
      </c>
      <c r="B198" s="32" t="s">
        <v>78</v>
      </c>
      <c r="C198" s="9" t="s">
        <v>550</v>
      </c>
      <c r="D198" s="9" t="s">
        <v>108</v>
      </c>
      <c r="E198" s="10" t="s">
        <v>454</v>
      </c>
      <c r="F198" s="42">
        <v>55.5</v>
      </c>
      <c r="G198" s="42">
        <v>55.5</v>
      </c>
    </row>
    <row r="199" spans="1:7" ht="33">
      <c r="A199" s="32" t="s">
        <v>37</v>
      </c>
      <c r="B199" s="32" t="s">
        <v>78</v>
      </c>
      <c r="C199" s="9" t="s">
        <v>551</v>
      </c>
      <c r="D199" s="9"/>
      <c r="E199" s="10" t="s">
        <v>553</v>
      </c>
      <c r="F199" s="42">
        <f>F200</f>
        <v>13</v>
      </c>
      <c r="G199" s="42">
        <f>G200</f>
        <v>13</v>
      </c>
    </row>
    <row r="200" spans="1:7" ht="33">
      <c r="A200" s="32" t="s">
        <v>37</v>
      </c>
      <c r="B200" s="32" t="s">
        <v>78</v>
      </c>
      <c r="C200" s="9" t="s">
        <v>551</v>
      </c>
      <c r="D200" s="9" t="s">
        <v>108</v>
      </c>
      <c r="E200" s="10" t="s">
        <v>454</v>
      </c>
      <c r="F200" s="42">
        <v>13</v>
      </c>
      <c r="G200" s="42">
        <v>13</v>
      </c>
    </row>
    <row r="201" spans="1:7" ht="33">
      <c r="A201" s="32" t="s">
        <v>37</v>
      </c>
      <c r="B201" s="32" t="s">
        <v>78</v>
      </c>
      <c r="C201" s="9" t="s">
        <v>362</v>
      </c>
      <c r="D201" s="9"/>
      <c r="E201" s="41" t="s">
        <v>176</v>
      </c>
      <c r="F201" s="42">
        <f>F202</f>
        <v>150</v>
      </c>
      <c r="G201" s="42">
        <f>G202</f>
        <v>149.9</v>
      </c>
    </row>
    <row r="202" spans="1:7" ht="33">
      <c r="A202" s="32" t="s">
        <v>37</v>
      </c>
      <c r="B202" s="32" t="s">
        <v>78</v>
      </c>
      <c r="C202" s="9" t="s">
        <v>362</v>
      </c>
      <c r="D202" s="44" t="s">
        <v>108</v>
      </c>
      <c r="E202" s="10" t="s">
        <v>454</v>
      </c>
      <c r="F202" s="42">
        <v>150</v>
      </c>
      <c r="G202" s="42">
        <v>149.9</v>
      </c>
    </row>
    <row r="203" spans="1:7" ht="12.75">
      <c r="A203" s="32" t="s">
        <v>37</v>
      </c>
      <c r="B203" s="32" t="s">
        <v>78</v>
      </c>
      <c r="C203" s="9" t="s">
        <v>298</v>
      </c>
      <c r="D203" s="9"/>
      <c r="E203" s="41" t="s">
        <v>179</v>
      </c>
      <c r="F203" s="42">
        <f>SUM(F204:F206)</f>
        <v>8499.8</v>
      </c>
      <c r="G203" s="42">
        <f>SUM(G204:G206)</f>
        <v>8398.3</v>
      </c>
    </row>
    <row r="204" spans="1:7" ht="66">
      <c r="A204" s="32" t="s">
        <v>37</v>
      </c>
      <c r="B204" s="32" t="s">
        <v>78</v>
      </c>
      <c r="C204" s="9" t="s">
        <v>298</v>
      </c>
      <c r="D204" s="9" t="s">
        <v>107</v>
      </c>
      <c r="E204" s="10" t="s">
        <v>6</v>
      </c>
      <c r="F204" s="42">
        <f>6962.5+27.2+55</f>
        <v>7044.7</v>
      </c>
      <c r="G204" s="42">
        <v>7043.2</v>
      </c>
    </row>
    <row r="205" spans="1:7" ht="33">
      <c r="A205" s="32" t="s">
        <v>37</v>
      </c>
      <c r="B205" s="32" t="s">
        <v>78</v>
      </c>
      <c r="C205" s="9" t="s">
        <v>298</v>
      </c>
      <c r="D205" s="9" t="s">
        <v>108</v>
      </c>
      <c r="E205" s="10" t="s">
        <v>454</v>
      </c>
      <c r="F205" s="42">
        <f>1407.2-27.2-21.8</f>
        <v>1358.2</v>
      </c>
      <c r="G205" s="42">
        <v>1258.2</v>
      </c>
    </row>
    <row r="206" spans="1:7" ht="12.75">
      <c r="A206" s="32" t="s">
        <v>37</v>
      </c>
      <c r="B206" s="32" t="s">
        <v>78</v>
      </c>
      <c r="C206" s="9" t="s">
        <v>298</v>
      </c>
      <c r="D206" s="9" t="s">
        <v>109</v>
      </c>
      <c r="E206" s="10" t="s">
        <v>110</v>
      </c>
      <c r="F206" s="42">
        <f>120.5-23.6</f>
        <v>96.9</v>
      </c>
      <c r="G206" s="42">
        <v>96.9</v>
      </c>
    </row>
    <row r="207" spans="1:7" ht="49.5">
      <c r="A207" s="32" t="s">
        <v>37</v>
      </c>
      <c r="B207" s="32" t="s">
        <v>78</v>
      </c>
      <c r="C207" s="9" t="s">
        <v>544</v>
      </c>
      <c r="D207" s="9"/>
      <c r="E207" s="41" t="s">
        <v>545</v>
      </c>
      <c r="F207" s="42">
        <f>F208</f>
        <v>14.1</v>
      </c>
      <c r="G207" s="42">
        <f>G208</f>
        <v>14.1</v>
      </c>
    </row>
    <row r="208" spans="1:7" ht="33">
      <c r="A208" s="32" t="s">
        <v>37</v>
      </c>
      <c r="B208" s="32" t="s">
        <v>78</v>
      </c>
      <c r="C208" s="9" t="s">
        <v>544</v>
      </c>
      <c r="D208" s="9" t="s">
        <v>108</v>
      </c>
      <c r="E208" s="10" t="s">
        <v>454</v>
      </c>
      <c r="F208" s="42">
        <v>14.1</v>
      </c>
      <c r="G208" s="42">
        <v>14.1</v>
      </c>
    </row>
    <row r="209" spans="1:7" ht="33">
      <c r="A209" s="32" t="s">
        <v>37</v>
      </c>
      <c r="B209" s="32" t="s">
        <v>78</v>
      </c>
      <c r="C209" s="9" t="s">
        <v>388</v>
      </c>
      <c r="D209" s="44"/>
      <c r="E209" s="10" t="s">
        <v>389</v>
      </c>
      <c r="F209" s="42">
        <f>F210+F214+F212</f>
        <v>13493.2</v>
      </c>
      <c r="G209" s="42">
        <f>G210+G214+G212</f>
        <v>13493.199999999999</v>
      </c>
    </row>
    <row r="210" spans="1:7" ht="33">
      <c r="A210" s="32" t="s">
        <v>37</v>
      </c>
      <c r="B210" s="32" t="s">
        <v>78</v>
      </c>
      <c r="C210" s="9" t="s">
        <v>295</v>
      </c>
      <c r="D210" s="9"/>
      <c r="E210" s="41" t="s">
        <v>177</v>
      </c>
      <c r="F210" s="42">
        <f>F211</f>
        <v>12878.300000000001</v>
      </c>
      <c r="G210" s="42">
        <f>G211</f>
        <v>12878.3</v>
      </c>
    </row>
    <row r="211" spans="1:7" ht="33">
      <c r="A211" s="32" t="s">
        <v>37</v>
      </c>
      <c r="B211" s="32" t="s">
        <v>78</v>
      </c>
      <c r="C211" s="9" t="s">
        <v>295</v>
      </c>
      <c r="D211" s="16">
        <v>600</v>
      </c>
      <c r="E211" s="10" t="s">
        <v>131</v>
      </c>
      <c r="F211" s="42">
        <f>12749.1+10+119.2</f>
        <v>12878.300000000001</v>
      </c>
      <c r="G211" s="42">
        <v>12878.3</v>
      </c>
    </row>
    <row r="212" spans="1:7" ht="33">
      <c r="A212" s="32" t="s">
        <v>37</v>
      </c>
      <c r="B212" s="32" t="s">
        <v>78</v>
      </c>
      <c r="C212" s="9" t="s">
        <v>558</v>
      </c>
      <c r="D212" s="16"/>
      <c r="E212" s="10" t="s">
        <v>559</v>
      </c>
      <c r="F212" s="42">
        <f>F213</f>
        <v>46</v>
      </c>
      <c r="G212" s="42">
        <f>G213</f>
        <v>46</v>
      </c>
    </row>
    <row r="213" spans="1:7" ht="33">
      <c r="A213" s="32" t="s">
        <v>37</v>
      </c>
      <c r="B213" s="32" t="s">
        <v>78</v>
      </c>
      <c r="C213" s="9" t="s">
        <v>558</v>
      </c>
      <c r="D213" s="16">
        <v>600</v>
      </c>
      <c r="E213" s="10" t="s">
        <v>131</v>
      </c>
      <c r="F213" s="42">
        <v>46</v>
      </c>
      <c r="G213" s="42">
        <v>46</v>
      </c>
    </row>
    <row r="214" spans="1:7" ht="49.5">
      <c r="A214" s="32" t="s">
        <v>37</v>
      </c>
      <c r="B214" s="32" t="s">
        <v>78</v>
      </c>
      <c r="C214" s="9" t="s">
        <v>457</v>
      </c>
      <c r="D214" s="16"/>
      <c r="E214" s="41" t="s">
        <v>458</v>
      </c>
      <c r="F214" s="42">
        <f>F215</f>
        <v>568.9</v>
      </c>
      <c r="G214" s="42">
        <f>G215</f>
        <v>568.9</v>
      </c>
    </row>
    <row r="215" spans="1:7" ht="33">
      <c r="A215" s="32" t="s">
        <v>37</v>
      </c>
      <c r="B215" s="32" t="s">
        <v>78</v>
      </c>
      <c r="C215" s="9" t="s">
        <v>457</v>
      </c>
      <c r="D215" s="16">
        <v>600</v>
      </c>
      <c r="E215" s="10" t="s">
        <v>131</v>
      </c>
      <c r="F215" s="42">
        <v>568.9</v>
      </c>
      <c r="G215" s="16">
        <v>568.9</v>
      </c>
    </row>
    <row r="216" spans="1:7" ht="12.75">
      <c r="A216" s="32" t="s">
        <v>37</v>
      </c>
      <c r="B216" s="32" t="s">
        <v>78</v>
      </c>
      <c r="C216" s="9" t="s">
        <v>390</v>
      </c>
      <c r="D216" s="16"/>
      <c r="E216" s="10" t="s">
        <v>391</v>
      </c>
      <c r="F216" s="42">
        <f>F217</f>
        <v>31</v>
      </c>
      <c r="G216" s="42">
        <f>G217</f>
        <v>31</v>
      </c>
    </row>
    <row r="217" spans="1:7" ht="49.5">
      <c r="A217" s="32" t="s">
        <v>37</v>
      </c>
      <c r="B217" s="32" t="s">
        <v>78</v>
      </c>
      <c r="C217" s="9" t="s">
        <v>296</v>
      </c>
      <c r="D217" s="9"/>
      <c r="E217" s="41" t="s">
        <v>178</v>
      </c>
      <c r="F217" s="42">
        <f>F218</f>
        <v>31</v>
      </c>
      <c r="G217" s="42">
        <f>G218</f>
        <v>31</v>
      </c>
    </row>
    <row r="218" spans="1:7" ht="33">
      <c r="A218" s="32" t="s">
        <v>37</v>
      </c>
      <c r="B218" s="32" t="s">
        <v>78</v>
      </c>
      <c r="C218" s="9" t="s">
        <v>296</v>
      </c>
      <c r="D218" s="16">
        <v>600</v>
      </c>
      <c r="E218" s="10" t="s">
        <v>131</v>
      </c>
      <c r="F218" s="42">
        <v>31</v>
      </c>
      <c r="G218" s="42">
        <v>31</v>
      </c>
    </row>
    <row r="219" spans="1:7" ht="12.75">
      <c r="A219" s="32" t="s">
        <v>37</v>
      </c>
      <c r="B219" s="12" t="s">
        <v>75</v>
      </c>
      <c r="C219" s="12"/>
      <c r="D219" s="16"/>
      <c r="E219" s="41" t="s">
        <v>67</v>
      </c>
      <c r="F219" s="42">
        <f>F220+F226</f>
        <v>1940.6000000000001</v>
      </c>
      <c r="G219" s="42">
        <f>G220+G226</f>
        <v>1936.8</v>
      </c>
    </row>
    <row r="220" spans="1:7" ht="12.75">
      <c r="A220" s="32" t="s">
        <v>37</v>
      </c>
      <c r="B220" s="16">
        <v>1001</v>
      </c>
      <c r="C220" s="12"/>
      <c r="D220" s="16"/>
      <c r="E220" s="10" t="s">
        <v>68</v>
      </c>
      <c r="F220" s="42">
        <f aca="true" t="shared" si="14" ref="F220:G224">F221</f>
        <v>1410.8000000000002</v>
      </c>
      <c r="G220" s="42">
        <f t="shared" si="14"/>
        <v>1410.8</v>
      </c>
    </row>
    <row r="221" spans="1:7" ht="49.5">
      <c r="A221" s="32" t="s">
        <v>37</v>
      </c>
      <c r="B221" s="12" t="s">
        <v>91</v>
      </c>
      <c r="C221" s="9" t="s">
        <v>248</v>
      </c>
      <c r="D221" s="32"/>
      <c r="E221" s="30" t="s">
        <v>229</v>
      </c>
      <c r="F221" s="42">
        <f t="shared" si="14"/>
        <v>1410.8000000000002</v>
      </c>
      <c r="G221" s="42">
        <f t="shared" si="14"/>
        <v>1410.8</v>
      </c>
    </row>
    <row r="222" spans="1:7" ht="12.75">
      <c r="A222" s="32" t="s">
        <v>37</v>
      </c>
      <c r="B222" s="12" t="s">
        <v>91</v>
      </c>
      <c r="C222" s="9" t="s">
        <v>299</v>
      </c>
      <c r="D222" s="32"/>
      <c r="E222" s="10" t="s">
        <v>181</v>
      </c>
      <c r="F222" s="42">
        <f t="shared" si="14"/>
        <v>1410.8000000000002</v>
      </c>
      <c r="G222" s="42">
        <f t="shared" si="14"/>
        <v>1410.8</v>
      </c>
    </row>
    <row r="223" spans="1:7" ht="33">
      <c r="A223" s="32" t="s">
        <v>37</v>
      </c>
      <c r="B223" s="12" t="s">
        <v>91</v>
      </c>
      <c r="C223" s="9" t="s">
        <v>423</v>
      </c>
      <c r="D223" s="32"/>
      <c r="E223" s="30" t="s">
        <v>438</v>
      </c>
      <c r="F223" s="42">
        <f t="shared" si="14"/>
        <v>1410.8000000000002</v>
      </c>
      <c r="G223" s="42">
        <f t="shared" si="14"/>
        <v>1410.8</v>
      </c>
    </row>
    <row r="224" spans="1:7" ht="49.5">
      <c r="A224" s="32" t="s">
        <v>37</v>
      </c>
      <c r="B224" s="12" t="s">
        <v>91</v>
      </c>
      <c r="C224" s="9" t="s">
        <v>300</v>
      </c>
      <c r="D224" s="32"/>
      <c r="E224" s="10" t="s">
        <v>106</v>
      </c>
      <c r="F224" s="42">
        <f t="shared" si="14"/>
        <v>1410.8000000000002</v>
      </c>
      <c r="G224" s="42">
        <f t="shared" si="14"/>
        <v>1410.8</v>
      </c>
    </row>
    <row r="225" spans="1:7" ht="12.75">
      <c r="A225" s="32" t="s">
        <v>37</v>
      </c>
      <c r="B225" s="12" t="s">
        <v>91</v>
      </c>
      <c r="C225" s="9" t="s">
        <v>300</v>
      </c>
      <c r="D225" s="16" t="s">
        <v>111</v>
      </c>
      <c r="E225" s="10" t="s">
        <v>112</v>
      </c>
      <c r="F225" s="42">
        <f>1738.9-326.5-1.6</f>
        <v>1410.8000000000002</v>
      </c>
      <c r="G225" s="42">
        <v>1410.8</v>
      </c>
    </row>
    <row r="226" spans="1:7" ht="12.75">
      <c r="A226" s="32" t="s">
        <v>37</v>
      </c>
      <c r="B226" s="12" t="s">
        <v>76</v>
      </c>
      <c r="C226" s="12"/>
      <c r="D226" s="16"/>
      <c r="E226" s="10" t="s">
        <v>70</v>
      </c>
      <c r="F226" s="42">
        <f>F227</f>
        <v>529.8</v>
      </c>
      <c r="G226" s="42">
        <f>G227</f>
        <v>526</v>
      </c>
    </row>
    <row r="227" spans="1:7" ht="49.5">
      <c r="A227" s="32" t="s">
        <v>37</v>
      </c>
      <c r="B227" s="12" t="s">
        <v>76</v>
      </c>
      <c r="C227" s="9" t="s">
        <v>248</v>
      </c>
      <c r="D227" s="32"/>
      <c r="E227" s="30" t="s">
        <v>229</v>
      </c>
      <c r="F227" s="42">
        <f>F228+F232</f>
        <v>529.8</v>
      </c>
      <c r="G227" s="42">
        <f>G228+G232</f>
        <v>526</v>
      </c>
    </row>
    <row r="228" spans="1:7" ht="49.5">
      <c r="A228" s="32" t="s">
        <v>37</v>
      </c>
      <c r="B228" s="12" t="s">
        <v>76</v>
      </c>
      <c r="C228" s="12" t="s">
        <v>260</v>
      </c>
      <c r="D228" s="16"/>
      <c r="E228" s="10" t="s">
        <v>183</v>
      </c>
      <c r="F228" s="42">
        <f>F229</f>
        <v>376.5</v>
      </c>
      <c r="G228" s="42">
        <f>G229</f>
        <v>376.5</v>
      </c>
    </row>
    <row r="229" spans="1:7" ht="49.5">
      <c r="A229" s="32" t="s">
        <v>37</v>
      </c>
      <c r="B229" s="12" t="s">
        <v>76</v>
      </c>
      <c r="C229" s="12" t="s">
        <v>418</v>
      </c>
      <c r="D229" s="44"/>
      <c r="E229" s="30" t="s">
        <v>437</v>
      </c>
      <c r="F229" s="42">
        <f>F230</f>
        <v>376.5</v>
      </c>
      <c r="G229" s="42">
        <f>G230</f>
        <v>376.5</v>
      </c>
    </row>
    <row r="230" spans="1:7" ht="33">
      <c r="A230" s="32" t="s">
        <v>37</v>
      </c>
      <c r="B230" s="12" t="s">
        <v>76</v>
      </c>
      <c r="C230" s="12" t="s">
        <v>301</v>
      </c>
      <c r="D230" s="16"/>
      <c r="E230" s="10" t="s">
        <v>184</v>
      </c>
      <c r="F230" s="42">
        <f aca="true" t="shared" si="15" ref="F230:G230">F231</f>
        <v>376.5</v>
      </c>
      <c r="G230" s="42">
        <f t="shared" si="15"/>
        <v>376.5</v>
      </c>
    </row>
    <row r="231" spans="1:7" ht="33">
      <c r="A231" s="32" t="s">
        <v>37</v>
      </c>
      <c r="B231" s="12" t="s">
        <v>76</v>
      </c>
      <c r="C231" s="12" t="s">
        <v>301</v>
      </c>
      <c r="D231" s="16">
        <v>600</v>
      </c>
      <c r="E231" s="10" t="s">
        <v>131</v>
      </c>
      <c r="F231" s="42">
        <f>400-23.5</f>
        <v>376.5</v>
      </c>
      <c r="G231" s="42">
        <v>376.5</v>
      </c>
    </row>
    <row r="232" spans="1:7" ht="12.75">
      <c r="A232" s="32" t="s">
        <v>37</v>
      </c>
      <c r="B232" s="12" t="s">
        <v>76</v>
      </c>
      <c r="C232" s="12" t="s">
        <v>299</v>
      </c>
      <c r="D232" s="16"/>
      <c r="E232" s="10" t="s">
        <v>181</v>
      </c>
      <c r="F232" s="42">
        <f>F233+F237</f>
        <v>153.3</v>
      </c>
      <c r="G232" s="42">
        <f>G233+G237</f>
        <v>149.5</v>
      </c>
    </row>
    <row r="233" spans="1:7" ht="33">
      <c r="A233" s="32" t="s">
        <v>37</v>
      </c>
      <c r="B233" s="12" t="s">
        <v>76</v>
      </c>
      <c r="C233" s="12" t="s">
        <v>423</v>
      </c>
      <c r="D233" s="16"/>
      <c r="E233" s="30" t="s">
        <v>438</v>
      </c>
      <c r="F233" s="42">
        <f>F234</f>
        <v>90.5</v>
      </c>
      <c r="G233" s="42">
        <f>G234</f>
        <v>86.69999999999999</v>
      </c>
    </row>
    <row r="234" spans="1:7" ht="33">
      <c r="A234" s="32" t="s">
        <v>37</v>
      </c>
      <c r="B234" s="32" t="s">
        <v>76</v>
      </c>
      <c r="C234" s="32" t="s">
        <v>303</v>
      </c>
      <c r="D234" s="16"/>
      <c r="E234" s="10" t="s">
        <v>182</v>
      </c>
      <c r="F234" s="42">
        <f>F236+F235</f>
        <v>90.5</v>
      </c>
      <c r="G234" s="42">
        <f>G236+G235</f>
        <v>86.69999999999999</v>
      </c>
    </row>
    <row r="235" spans="1:7" ht="33">
      <c r="A235" s="32" t="s">
        <v>37</v>
      </c>
      <c r="B235" s="32" t="s">
        <v>76</v>
      </c>
      <c r="C235" s="32" t="s">
        <v>303</v>
      </c>
      <c r="D235" s="9" t="s">
        <v>108</v>
      </c>
      <c r="E235" s="10" t="s">
        <v>454</v>
      </c>
      <c r="F235" s="42">
        <v>3.5</v>
      </c>
      <c r="G235" s="42">
        <v>0</v>
      </c>
    </row>
    <row r="236" spans="1:7" ht="12.75">
      <c r="A236" s="32" t="s">
        <v>37</v>
      </c>
      <c r="B236" s="32" t="s">
        <v>76</v>
      </c>
      <c r="C236" s="32" t="s">
        <v>303</v>
      </c>
      <c r="D236" s="16" t="s">
        <v>111</v>
      </c>
      <c r="E236" s="10" t="s">
        <v>112</v>
      </c>
      <c r="F236" s="42">
        <f>116-29</f>
        <v>87</v>
      </c>
      <c r="G236" s="42">
        <f>86.6+0.1</f>
        <v>86.69999999999999</v>
      </c>
    </row>
    <row r="237" spans="1:7" ht="66">
      <c r="A237" s="32" t="s">
        <v>37</v>
      </c>
      <c r="B237" s="12" t="s">
        <v>76</v>
      </c>
      <c r="C237" s="12" t="s">
        <v>424</v>
      </c>
      <c r="D237" s="16"/>
      <c r="E237" s="30" t="s">
        <v>439</v>
      </c>
      <c r="F237" s="42">
        <f>F238</f>
        <v>62.80000000000001</v>
      </c>
      <c r="G237" s="42">
        <f>G238</f>
        <v>62.8</v>
      </c>
    </row>
    <row r="238" spans="1:7" ht="33">
      <c r="A238" s="32" t="s">
        <v>37</v>
      </c>
      <c r="B238" s="12" t="s">
        <v>76</v>
      </c>
      <c r="C238" s="12" t="s">
        <v>302</v>
      </c>
      <c r="D238" s="16"/>
      <c r="E238" s="10" t="s">
        <v>240</v>
      </c>
      <c r="F238" s="42">
        <f>F239</f>
        <v>62.80000000000001</v>
      </c>
      <c r="G238" s="42">
        <f>G239</f>
        <v>62.8</v>
      </c>
    </row>
    <row r="239" spans="1:7" ht="33">
      <c r="A239" s="32" t="s">
        <v>37</v>
      </c>
      <c r="B239" s="12" t="s">
        <v>76</v>
      </c>
      <c r="C239" s="12" t="s">
        <v>302</v>
      </c>
      <c r="D239" s="16" t="s">
        <v>111</v>
      </c>
      <c r="E239" s="10" t="s">
        <v>112</v>
      </c>
      <c r="F239" s="42">
        <f>208.5-145.7</f>
        <v>62.80000000000001</v>
      </c>
      <c r="G239" s="42">
        <v>62.8</v>
      </c>
    </row>
    <row r="240" spans="1:7" ht="12.75">
      <c r="A240" s="32" t="s">
        <v>37</v>
      </c>
      <c r="B240" s="16">
        <v>1200</v>
      </c>
      <c r="C240" s="9"/>
      <c r="D240" s="32"/>
      <c r="E240" s="10" t="s">
        <v>101</v>
      </c>
      <c r="F240" s="42">
        <f>+F241</f>
        <v>2505.6</v>
      </c>
      <c r="G240" s="42">
        <f>+G241</f>
        <v>2505.6</v>
      </c>
    </row>
    <row r="241" spans="1:7" ht="12.75">
      <c r="A241" s="32" t="s">
        <v>37</v>
      </c>
      <c r="B241" s="32" t="s">
        <v>103</v>
      </c>
      <c r="C241" s="9"/>
      <c r="D241" s="32"/>
      <c r="E241" s="10" t="s">
        <v>104</v>
      </c>
      <c r="F241" s="42">
        <f aca="true" t="shared" si="16" ref="F241:G242">F242</f>
        <v>2505.6</v>
      </c>
      <c r="G241" s="42">
        <f t="shared" si="16"/>
        <v>2505.6</v>
      </c>
    </row>
    <row r="242" spans="1:7" ht="49.5">
      <c r="A242" s="32" t="s">
        <v>37</v>
      </c>
      <c r="B242" s="32" t="s">
        <v>103</v>
      </c>
      <c r="C242" s="12" t="s">
        <v>248</v>
      </c>
      <c r="D242" s="16"/>
      <c r="E242" s="30" t="s">
        <v>229</v>
      </c>
      <c r="F242" s="42">
        <f t="shared" si="16"/>
        <v>2505.6</v>
      </c>
      <c r="G242" s="42">
        <f t="shared" si="16"/>
        <v>2505.6</v>
      </c>
    </row>
    <row r="243" spans="1:7" ht="49.5">
      <c r="A243" s="32" t="s">
        <v>37</v>
      </c>
      <c r="B243" s="32" t="s">
        <v>103</v>
      </c>
      <c r="C243" s="12" t="s">
        <v>260</v>
      </c>
      <c r="D243" s="16"/>
      <c r="E243" s="10" t="s">
        <v>183</v>
      </c>
      <c r="F243" s="42">
        <f>F244</f>
        <v>2505.6</v>
      </c>
      <c r="G243" s="42">
        <f>G244</f>
        <v>2505.6</v>
      </c>
    </row>
    <row r="244" spans="1:7" ht="33">
      <c r="A244" s="32" t="s">
        <v>37</v>
      </c>
      <c r="B244" s="32" t="s">
        <v>103</v>
      </c>
      <c r="C244" s="12" t="s">
        <v>425</v>
      </c>
      <c r="D244" s="16"/>
      <c r="E244" s="30" t="s">
        <v>440</v>
      </c>
      <c r="F244" s="42">
        <f>F247+F249+F245+F251</f>
        <v>2505.6</v>
      </c>
      <c r="G244" s="42">
        <f>G247+G249+G245+G251</f>
        <v>2505.6</v>
      </c>
    </row>
    <row r="245" spans="1:7" ht="82.5">
      <c r="A245" s="32" t="s">
        <v>37</v>
      </c>
      <c r="B245" s="32" t="s">
        <v>103</v>
      </c>
      <c r="C245" s="12" t="s">
        <v>304</v>
      </c>
      <c r="D245" s="16"/>
      <c r="E245" s="10" t="s">
        <v>230</v>
      </c>
      <c r="F245" s="42">
        <f>F246</f>
        <v>924</v>
      </c>
      <c r="G245" s="42">
        <f>G246</f>
        <v>924</v>
      </c>
    </row>
    <row r="246" spans="1:7" ht="12.75">
      <c r="A246" s="32" t="s">
        <v>37</v>
      </c>
      <c r="B246" s="32" t="s">
        <v>103</v>
      </c>
      <c r="C246" s="12" t="s">
        <v>304</v>
      </c>
      <c r="D246" s="16" t="s">
        <v>109</v>
      </c>
      <c r="E246" s="10" t="s">
        <v>110</v>
      </c>
      <c r="F246" s="42">
        <v>924</v>
      </c>
      <c r="G246" s="42">
        <v>924</v>
      </c>
    </row>
    <row r="247" spans="1:7" ht="66">
      <c r="A247" s="32" t="s">
        <v>37</v>
      </c>
      <c r="B247" s="32" t="s">
        <v>103</v>
      </c>
      <c r="C247" s="12" t="s">
        <v>305</v>
      </c>
      <c r="D247" s="16"/>
      <c r="E247" s="10" t="s">
        <v>231</v>
      </c>
      <c r="F247" s="42">
        <f>F248</f>
        <v>480</v>
      </c>
      <c r="G247" s="42">
        <f>G248</f>
        <v>480</v>
      </c>
    </row>
    <row r="248" spans="1:7" ht="12.75">
      <c r="A248" s="32" t="s">
        <v>37</v>
      </c>
      <c r="B248" s="32" t="s">
        <v>103</v>
      </c>
      <c r="C248" s="12" t="s">
        <v>305</v>
      </c>
      <c r="D248" s="16" t="s">
        <v>109</v>
      </c>
      <c r="E248" s="10" t="s">
        <v>110</v>
      </c>
      <c r="F248" s="42">
        <v>480</v>
      </c>
      <c r="G248" s="42">
        <v>480</v>
      </c>
    </row>
    <row r="249" spans="1:7" ht="66">
      <c r="A249" s="32" t="s">
        <v>37</v>
      </c>
      <c r="B249" s="32" t="s">
        <v>103</v>
      </c>
      <c r="C249" s="12" t="s">
        <v>316</v>
      </c>
      <c r="D249" s="16"/>
      <c r="E249" s="10" t="s">
        <v>232</v>
      </c>
      <c r="F249" s="42">
        <f>F250</f>
        <v>624</v>
      </c>
      <c r="G249" s="42">
        <f>G250</f>
        <v>624</v>
      </c>
    </row>
    <row r="250" spans="1:7" ht="12.75">
      <c r="A250" s="32" t="s">
        <v>37</v>
      </c>
      <c r="B250" s="32" t="s">
        <v>103</v>
      </c>
      <c r="C250" s="12" t="s">
        <v>316</v>
      </c>
      <c r="D250" s="16" t="s">
        <v>109</v>
      </c>
      <c r="E250" s="10" t="s">
        <v>110</v>
      </c>
      <c r="F250" s="42">
        <v>624</v>
      </c>
      <c r="G250" s="42">
        <v>624</v>
      </c>
    </row>
    <row r="251" spans="1:7" ht="82.5">
      <c r="A251" s="32" t="s">
        <v>37</v>
      </c>
      <c r="B251" s="32" t="s">
        <v>103</v>
      </c>
      <c r="C251" s="12" t="s">
        <v>492</v>
      </c>
      <c r="D251" s="16"/>
      <c r="E251" s="10" t="s">
        <v>494</v>
      </c>
      <c r="F251" s="42">
        <f>F252</f>
        <v>477.6</v>
      </c>
      <c r="G251" s="42">
        <f>G252</f>
        <v>477.6</v>
      </c>
    </row>
    <row r="252" spans="1:7" ht="12.75">
      <c r="A252" s="32" t="s">
        <v>37</v>
      </c>
      <c r="B252" s="32" t="s">
        <v>103</v>
      </c>
      <c r="C252" s="12" t="s">
        <v>492</v>
      </c>
      <c r="D252" s="16" t="s">
        <v>109</v>
      </c>
      <c r="E252" s="10" t="s">
        <v>110</v>
      </c>
      <c r="F252" s="42">
        <v>477.6</v>
      </c>
      <c r="G252" s="42">
        <v>477.6</v>
      </c>
    </row>
    <row r="253" spans="1:7" ht="33">
      <c r="A253" s="33" t="s">
        <v>71</v>
      </c>
      <c r="B253" s="32"/>
      <c r="C253" s="33"/>
      <c r="D253" s="33"/>
      <c r="E253" s="34" t="s">
        <v>102</v>
      </c>
      <c r="F253" s="52">
        <f>F254+F278</f>
        <v>13011.2</v>
      </c>
      <c r="G253" s="52">
        <f>G254+G278</f>
        <v>11978.800000000001</v>
      </c>
    </row>
    <row r="254" spans="1:7" ht="12.75">
      <c r="A254" s="32" t="s">
        <v>71</v>
      </c>
      <c r="B254" s="32" t="s">
        <v>92</v>
      </c>
      <c r="C254" s="32"/>
      <c r="D254" s="32"/>
      <c r="E254" s="30" t="s">
        <v>38</v>
      </c>
      <c r="F254" s="42">
        <f>F255+F263+F268</f>
        <v>12772.800000000001</v>
      </c>
      <c r="G254" s="42">
        <f>G255+G263+G268</f>
        <v>11741.6</v>
      </c>
    </row>
    <row r="255" spans="1:7" ht="33">
      <c r="A255" s="32" t="s">
        <v>71</v>
      </c>
      <c r="B255" s="32" t="s">
        <v>82</v>
      </c>
      <c r="C255" s="32"/>
      <c r="D255" s="32"/>
      <c r="E255" s="10" t="s">
        <v>22</v>
      </c>
      <c r="F255" s="42">
        <f aca="true" t="shared" si="17" ref="F255:G258">F256</f>
        <v>10781.2</v>
      </c>
      <c r="G255" s="42">
        <f t="shared" si="17"/>
        <v>10776.4</v>
      </c>
    </row>
    <row r="256" spans="1:7" ht="33">
      <c r="A256" s="32" t="s">
        <v>71</v>
      </c>
      <c r="B256" s="32" t="s">
        <v>82</v>
      </c>
      <c r="C256" s="9" t="s">
        <v>306</v>
      </c>
      <c r="D256" s="44"/>
      <c r="E256" s="10" t="s">
        <v>14</v>
      </c>
      <c r="F256" s="42">
        <f t="shared" si="17"/>
        <v>10781.2</v>
      </c>
      <c r="G256" s="42">
        <f t="shared" si="17"/>
        <v>10776.4</v>
      </c>
    </row>
    <row r="257" spans="1:7" ht="12.75">
      <c r="A257" s="32" t="s">
        <v>71</v>
      </c>
      <c r="B257" s="32" t="s">
        <v>82</v>
      </c>
      <c r="C257" s="12" t="s">
        <v>307</v>
      </c>
      <c r="D257" s="16"/>
      <c r="E257" s="30" t="s">
        <v>5</v>
      </c>
      <c r="F257" s="42">
        <f t="shared" si="17"/>
        <v>10781.2</v>
      </c>
      <c r="G257" s="42">
        <f t="shared" si="17"/>
        <v>10776.4</v>
      </c>
    </row>
    <row r="258" spans="1:7" ht="12.75">
      <c r="A258" s="32" t="s">
        <v>71</v>
      </c>
      <c r="B258" s="32" t="s">
        <v>82</v>
      </c>
      <c r="C258" s="12" t="s">
        <v>426</v>
      </c>
      <c r="D258" s="16"/>
      <c r="E258" s="30" t="s">
        <v>447</v>
      </c>
      <c r="F258" s="42">
        <f t="shared" si="17"/>
        <v>10781.2</v>
      </c>
      <c r="G258" s="42">
        <f t="shared" si="17"/>
        <v>10776.4</v>
      </c>
    </row>
    <row r="259" spans="1:7" ht="66">
      <c r="A259" s="32" t="s">
        <v>71</v>
      </c>
      <c r="B259" s="32" t="s">
        <v>82</v>
      </c>
      <c r="C259" s="9" t="s">
        <v>308</v>
      </c>
      <c r="D259" s="9"/>
      <c r="E259" s="30" t="s">
        <v>113</v>
      </c>
      <c r="F259" s="42">
        <f>F260+F261+F262</f>
        <v>10781.2</v>
      </c>
      <c r="G259" s="42">
        <f>G260+G261+G262</f>
        <v>10776.4</v>
      </c>
    </row>
    <row r="260" spans="1:7" ht="66">
      <c r="A260" s="32" t="s">
        <v>71</v>
      </c>
      <c r="B260" s="32" t="s">
        <v>82</v>
      </c>
      <c r="C260" s="9" t="s">
        <v>308</v>
      </c>
      <c r="D260" s="44" t="s">
        <v>107</v>
      </c>
      <c r="E260" s="10" t="s">
        <v>6</v>
      </c>
      <c r="F260" s="42">
        <f>7989+26.6-107.2</f>
        <v>7908.400000000001</v>
      </c>
      <c r="G260" s="42">
        <v>7903.8</v>
      </c>
    </row>
    <row r="261" spans="1:7" ht="33">
      <c r="A261" s="32" t="s">
        <v>71</v>
      </c>
      <c r="B261" s="32" t="s">
        <v>82</v>
      </c>
      <c r="C261" s="9" t="s">
        <v>308</v>
      </c>
      <c r="D261" s="44" t="s">
        <v>108</v>
      </c>
      <c r="E261" s="10" t="s">
        <v>454</v>
      </c>
      <c r="F261" s="42">
        <f>1227.4+1400+127</f>
        <v>2754.4</v>
      </c>
      <c r="G261" s="42">
        <v>2754.2</v>
      </c>
    </row>
    <row r="262" spans="1:7" ht="12.75">
      <c r="A262" s="32" t="s">
        <v>71</v>
      </c>
      <c r="B262" s="32" t="s">
        <v>82</v>
      </c>
      <c r="C262" s="9" t="s">
        <v>308</v>
      </c>
      <c r="D262" s="44" t="s">
        <v>109</v>
      </c>
      <c r="E262" s="46" t="s">
        <v>110</v>
      </c>
      <c r="F262" s="42">
        <v>118.4</v>
      </c>
      <c r="G262" s="42">
        <v>118.4</v>
      </c>
    </row>
    <row r="263" spans="1:7" ht="12.75">
      <c r="A263" s="32" t="s">
        <v>71</v>
      </c>
      <c r="B263" s="32" t="s">
        <v>83</v>
      </c>
      <c r="C263" s="33"/>
      <c r="D263" s="33"/>
      <c r="E263" s="10" t="s">
        <v>23</v>
      </c>
      <c r="F263" s="42">
        <f aca="true" t="shared" si="18" ref="F263:G266">F264</f>
        <v>1000</v>
      </c>
      <c r="G263" s="42">
        <f t="shared" si="18"/>
        <v>0</v>
      </c>
    </row>
    <row r="264" spans="1:7" ht="12.75">
      <c r="A264" s="32" t="s">
        <v>71</v>
      </c>
      <c r="B264" s="32" t="s">
        <v>83</v>
      </c>
      <c r="C264" s="4">
        <v>9900000000</v>
      </c>
      <c r="D264" s="45"/>
      <c r="E264" s="31" t="s">
        <v>9</v>
      </c>
      <c r="F264" s="42">
        <f t="shared" si="18"/>
        <v>1000</v>
      </c>
      <c r="G264" s="42">
        <f t="shared" si="18"/>
        <v>0</v>
      </c>
    </row>
    <row r="265" spans="1:7" ht="12.75">
      <c r="A265" s="32" t="s">
        <v>71</v>
      </c>
      <c r="B265" s="32" t="s">
        <v>83</v>
      </c>
      <c r="C265" s="4">
        <v>9920000000</v>
      </c>
      <c r="D265" s="45"/>
      <c r="E265" s="10" t="s">
        <v>23</v>
      </c>
      <c r="F265" s="42">
        <f t="shared" si="18"/>
        <v>1000</v>
      </c>
      <c r="G265" s="42">
        <f t="shared" si="18"/>
        <v>0</v>
      </c>
    </row>
    <row r="266" spans="1:7" ht="33">
      <c r="A266" s="32" t="s">
        <v>71</v>
      </c>
      <c r="B266" s="32" t="s">
        <v>83</v>
      </c>
      <c r="C266" s="4" t="s">
        <v>309</v>
      </c>
      <c r="D266" s="9" t="s">
        <v>105</v>
      </c>
      <c r="E266" s="31" t="s">
        <v>150</v>
      </c>
      <c r="F266" s="42">
        <f t="shared" si="18"/>
        <v>1000</v>
      </c>
      <c r="G266" s="42">
        <f t="shared" si="18"/>
        <v>0</v>
      </c>
    </row>
    <row r="267" spans="1:7" ht="12.75">
      <c r="A267" s="32" t="s">
        <v>71</v>
      </c>
      <c r="B267" s="32" t="s">
        <v>83</v>
      </c>
      <c r="C267" s="4" t="s">
        <v>309</v>
      </c>
      <c r="D267" s="9" t="s">
        <v>109</v>
      </c>
      <c r="E267" s="31" t="s">
        <v>110</v>
      </c>
      <c r="F267" s="42">
        <v>1000</v>
      </c>
      <c r="G267" s="42">
        <v>0</v>
      </c>
    </row>
    <row r="268" spans="1:7" ht="12.75">
      <c r="A268" s="32" t="s">
        <v>71</v>
      </c>
      <c r="B268" s="32" t="s">
        <v>98</v>
      </c>
      <c r="C268" s="33"/>
      <c r="D268" s="33"/>
      <c r="E268" s="10" t="s">
        <v>58</v>
      </c>
      <c r="F268" s="42">
        <f>F269</f>
        <v>991.5999999999999</v>
      </c>
      <c r="G268" s="42">
        <f>G269</f>
        <v>965.2</v>
      </c>
    </row>
    <row r="269" spans="1:7" ht="33">
      <c r="A269" s="32" t="s">
        <v>71</v>
      </c>
      <c r="B269" s="32" t="s">
        <v>98</v>
      </c>
      <c r="C269" s="9" t="s">
        <v>306</v>
      </c>
      <c r="D269" s="44"/>
      <c r="E269" s="10" t="s">
        <v>14</v>
      </c>
      <c r="F269" s="42">
        <f>F270+F274</f>
        <v>991.5999999999999</v>
      </c>
      <c r="G269" s="42">
        <f>G270+G274</f>
        <v>965.2</v>
      </c>
    </row>
    <row r="270" spans="1:7" ht="33">
      <c r="A270" s="32" t="s">
        <v>71</v>
      </c>
      <c r="B270" s="32" t="s">
        <v>98</v>
      </c>
      <c r="C270" s="9" t="s">
        <v>310</v>
      </c>
      <c r="D270" s="44"/>
      <c r="E270" s="10" t="s">
        <v>224</v>
      </c>
      <c r="F270" s="42">
        <f>F271</f>
        <v>959.0999999999999</v>
      </c>
      <c r="G270" s="42">
        <f>G271</f>
        <v>959.1</v>
      </c>
    </row>
    <row r="271" spans="1:7" ht="66">
      <c r="A271" s="32" t="s">
        <v>71</v>
      </c>
      <c r="B271" s="32" t="s">
        <v>98</v>
      </c>
      <c r="C271" s="9" t="s">
        <v>427</v>
      </c>
      <c r="D271" s="44"/>
      <c r="E271" s="30" t="s">
        <v>441</v>
      </c>
      <c r="F271" s="42">
        <f>F272</f>
        <v>959.0999999999999</v>
      </c>
      <c r="G271" s="42">
        <f>G272</f>
        <v>959.1</v>
      </c>
    </row>
    <row r="272" spans="1:7" ht="49.5">
      <c r="A272" s="32" t="s">
        <v>71</v>
      </c>
      <c r="B272" s="32" t="s">
        <v>98</v>
      </c>
      <c r="C272" s="9" t="s">
        <v>311</v>
      </c>
      <c r="D272" s="9"/>
      <c r="E272" s="31" t="s">
        <v>227</v>
      </c>
      <c r="F272" s="42">
        <f aca="true" t="shared" si="19" ref="F272:G272">F273</f>
        <v>959.0999999999999</v>
      </c>
      <c r="G272" s="42">
        <f t="shared" si="19"/>
        <v>959.1</v>
      </c>
    </row>
    <row r="273" spans="1:7" ht="33">
      <c r="A273" s="32" t="s">
        <v>71</v>
      </c>
      <c r="B273" s="32" t="s">
        <v>98</v>
      </c>
      <c r="C273" s="9" t="s">
        <v>311</v>
      </c>
      <c r="D273" s="44" t="s">
        <v>108</v>
      </c>
      <c r="E273" s="10" t="s">
        <v>454</v>
      </c>
      <c r="F273" s="42">
        <f>1082.6-123.5</f>
        <v>959.0999999999999</v>
      </c>
      <c r="G273" s="42">
        <v>959.1</v>
      </c>
    </row>
    <row r="274" spans="1:7" ht="12.75">
      <c r="A274" s="32" t="s">
        <v>71</v>
      </c>
      <c r="B274" s="32" t="s">
        <v>98</v>
      </c>
      <c r="C274" s="9" t="s">
        <v>312</v>
      </c>
      <c r="D274" s="9"/>
      <c r="E274" s="31" t="s">
        <v>148</v>
      </c>
      <c r="F274" s="42">
        <f>F275</f>
        <v>32.5</v>
      </c>
      <c r="G274" s="42">
        <f>G275</f>
        <v>6.1</v>
      </c>
    </row>
    <row r="275" spans="1:7" ht="33">
      <c r="A275" s="32" t="s">
        <v>71</v>
      </c>
      <c r="B275" s="32" t="s">
        <v>98</v>
      </c>
      <c r="C275" s="9" t="s">
        <v>428</v>
      </c>
      <c r="D275" s="9"/>
      <c r="E275" s="30" t="s">
        <v>442</v>
      </c>
      <c r="F275" s="42">
        <f>F276</f>
        <v>32.5</v>
      </c>
      <c r="G275" s="42">
        <f>G276</f>
        <v>6.1</v>
      </c>
    </row>
    <row r="276" spans="1:7" ht="33">
      <c r="A276" s="32" t="s">
        <v>71</v>
      </c>
      <c r="B276" s="32" t="s">
        <v>98</v>
      </c>
      <c r="C276" s="9" t="s">
        <v>313</v>
      </c>
      <c r="D276" s="9"/>
      <c r="E276" s="31" t="s">
        <v>149</v>
      </c>
      <c r="F276" s="42">
        <f aca="true" t="shared" si="20" ref="F276:G276">F277</f>
        <v>32.5</v>
      </c>
      <c r="G276" s="42">
        <f t="shared" si="20"/>
        <v>6.1</v>
      </c>
    </row>
    <row r="277" spans="1:7" ht="33">
      <c r="A277" s="32" t="s">
        <v>71</v>
      </c>
      <c r="B277" s="32" t="s">
        <v>98</v>
      </c>
      <c r="C277" s="9" t="s">
        <v>313</v>
      </c>
      <c r="D277" s="44" t="s">
        <v>108</v>
      </c>
      <c r="E277" s="10" t="s">
        <v>454</v>
      </c>
      <c r="F277" s="42">
        <f>36-3.5</f>
        <v>32.5</v>
      </c>
      <c r="G277" s="42">
        <v>6.1</v>
      </c>
    </row>
    <row r="278" spans="1:7" ht="12.75">
      <c r="A278" s="32" t="s">
        <v>71</v>
      </c>
      <c r="B278" s="32" t="s">
        <v>512</v>
      </c>
      <c r="C278" s="9"/>
      <c r="D278" s="44"/>
      <c r="E278" s="10" t="s">
        <v>513</v>
      </c>
      <c r="F278" s="42">
        <f aca="true" t="shared" si="21" ref="F278:G280">F279</f>
        <v>238.40000000000003</v>
      </c>
      <c r="G278" s="42">
        <f t="shared" si="21"/>
        <v>237.2</v>
      </c>
    </row>
    <row r="279" spans="1:7" ht="12.75">
      <c r="A279" s="32" t="s">
        <v>71</v>
      </c>
      <c r="B279" s="32" t="s">
        <v>514</v>
      </c>
      <c r="C279" s="9"/>
      <c r="D279" s="44"/>
      <c r="E279" s="10" t="s">
        <v>515</v>
      </c>
      <c r="F279" s="42">
        <f t="shared" si="21"/>
        <v>238.40000000000003</v>
      </c>
      <c r="G279" s="42">
        <f t="shared" si="21"/>
        <v>237.2</v>
      </c>
    </row>
    <row r="280" spans="1:7" ht="33">
      <c r="A280" s="32" t="s">
        <v>71</v>
      </c>
      <c r="B280" s="32" t="s">
        <v>514</v>
      </c>
      <c r="C280" s="9" t="s">
        <v>306</v>
      </c>
      <c r="D280" s="44"/>
      <c r="E280" s="10" t="s">
        <v>14</v>
      </c>
      <c r="F280" s="42">
        <f t="shared" si="21"/>
        <v>238.40000000000003</v>
      </c>
      <c r="G280" s="42">
        <f t="shared" si="21"/>
        <v>237.2</v>
      </c>
    </row>
    <row r="281" spans="1:7" ht="33">
      <c r="A281" s="32" t="s">
        <v>71</v>
      </c>
      <c r="B281" s="32" t="s">
        <v>514</v>
      </c>
      <c r="C281" s="9" t="s">
        <v>519</v>
      </c>
      <c r="D281" s="44"/>
      <c r="E281" s="10" t="s">
        <v>516</v>
      </c>
      <c r="F281" s="42">
        <f>F283</f>
        <v>238.40000000000003</v>
      </c>
      <c r="G281" s="42">
        <f>G283</f>
        <v>237.2</v>
      </c>
    </row>
    <row r="282" spans="1:7" ht="33">
      <c r="A282" s="32" t="s">
        <v>71</v>
      </c>
      <c r="B282" s="32" t="s">
        <v>514</v>
      </c>
      <c r="C282" s="9" t="s">
        <v>528</v>
      </c>
      <c r="D282" s="44"/>
      <c r="E282" s="30" t="s">
        <v>529</v>
      </c>
      <c r="F282" s="42">
        <f>F283</f>
        <v>238.40000000000003</v>
      </c>
      <c r="G282" s="42">
        <f>G283</f>
        <v>237.2</v>
      </c>
    </row>
    <row r="283" spans="1:7" ht="12.75">
      <c r="A283" s="32" t="s">
        <v>71</v>
      </c>
      <c r="B283" s="32" t="s">
        <v>514</v>
      </c>
      <c r="C283" s="9" t="s">
        <v>520</v>
      </c>
      <c r="D283" s="44"/>
      <c r="E283" s="10" t="s">
        <v>517</v>
      </c>
      <c r="F283" s="42">
        <f>F284</f>
        <v>238.40000000000003</v>
      </c>
      <c r="G283" s="42">
        <f>G284</f>
        <v>237.2</v>
      </c>
    </row>
    <row r="284" spans="1:7" ht="12.75">
      <c r="A284" s="32" t="s">
        <v>71</v>
      </c>
      <c r="B284" s="32" t="s">
        <v>514</v>
      </c>
      <c r="C284" s="9" t="s">
        <v>520</v>
      </c>
      <c r="D284" s="44">
        <v>700</v>
      </c>
      <c r="E284" s="10" t="s">
        <v>518</v>
      </c>
      <c r="F284" s="42">
        <f>1000-551.8-209.8</f>
        <v>238.40000000000003</v>
      </c>
      <c r="G284" s="42">
        <v>237.2</v>
      </c>
    </row>
    <row r="285" spans="1:7" ht="33">
      <c r="A285" s="33" t="s">
        <v>69</v>
      </c>
      <c r="B285" s="32"/>
      <c r="C285" s="33"/>
      <c r="D285" s="33"/>
      <c r="E285" s="34" t="s">
        <v>8</v>
      </c>
      <c r="F285" s="52">
        <f>F286+F306+F323+F313</f>
        <v>18052.6</v>
      </c>
      <c r="G285" s="52">
        <f>G286+G306+G323+G313</f>
        <v>17898.600000000002</v>
      </c>
    </row>
    <row r="286" spans="1:7" ht="12.75">
      <c r="A286" s="32" t="s">
        <v>69</v>
      </c>
      <c r="B286" s="32" t="s">
        <v>92</v>
      </c>
      <c r="C286" s="32"/>
      <c r="D286" s="32"/>
      <c r="E286" s="30" t="s">
        <v>38</v>
      </c>
      <c r="F286" s="42">
        <f aca="true" t="shared" si="22" ref="F286:G286">F287</f>
        <v>8722</v>
      </c>
      <c r="G286" s="42">
        <f t="shared" si="22"/>
        <v>8712.600000000002</v>
      </c>
    </row>
    <row r="287" spans="1:7" ht="12.75">
      <c r="A287" s="32" t="s">
        <v>69</v>
      </c>
      <c r="B287" s="32" t="s">
        <v>98</v>
      </c>
      <c r="C287" s="32"/>
      <c r="D287" s="32"/>
      <c r="E287" s="10" t="s">
        <v>58</v>
      </c>
      <c r="F287" s="42">
        <f>F288+F302</f>
        <v>8722</v>
      </c>
      <c r="G287" s="42">
        <f>G288+G302</f>
        <v>8712.600000000002</v>
      </c>
    </row>
    <row r="288" spans="1:7" ht="49.5">
      <c r="A288" s="32" t="s">
        <v>69</v>
      </c>
      <c r="B288" s="32" t="s">
        <v>98</v>
      </c>
      <c r="C288" s="32" t="s">
        <v>314</v>
      </c>
      <c r="D288" s="32"/>
      <c r="E288" s="30" t="s">
        <v>168</v>
      </c>
      <c r="F288" s="42">
        <f>F289+F297</f>
        <v>8238.3</v>
      </c>
      <c r="G288" s="42">
        <f>G289+G297</f>
        <v>8228.900000000001</v>
      </c>
    </row>
    <row r="289" spans="1:7" ht="33">
      <c r="A289" s="32" t="s">
        <v>69</v>
      </c>
      <c r="B289" s="32" t="s">
        <v>98</v>
      </c>
      <c r="C289" s="32" t="s">
        <v>315</v>
      </c>
      <c r="D289" s="32"/>
      <c r="E289" s="30" t="s">
        <v>169</v>
      </c>
      <c r="F289" s="42">
        <f>F290</f>
        <v>2578</v>
      </c>
      <c r="G289" s="42">
        <f>G290</f>
        <v>2577.7</v>
      </c>
    </row>
    <row r="290" spans="1:7" ht="49.5">
      <c r="A290" s="32" t="s">
        <v>69</v>
      </c>
      <c r="B290" s="32" t="s">
        <v>98</v>
      </c>
      <c r="C290" s="32" t="s">
        <v>429</v>
      </c>
      <c r="D290" s="32"/>
      <c r="E290" s="30" t="s">
        <v>443</v>
      </c>
      <c r="F290" s="42">
        <f>F291+F293+F295</f>
        <v>2578</v>
      </c>
      <c r="G290" s="42">
        <f>G291+G293+G295</f>
        <v>2577.7</v>
      </c>
    </row>
    <row r="291" spans="1:7" ht="33">
      <c r="A291" s="32" t="s">
        <v>69</v>
      </c>
      <c r="B291" s="32" t="s">
        <v>98</v>
      </c>
      <c r="C291" s="32" t="s">
        <v>318</v>
      </c>
      <c r="D291" s="32"/>
      <c r="E291" s="30" t="s">
        <v>170</v>
      </c>
      <c r="F291" s="42">
        <f>F292</f>
        <v>2360</v>
      </c>
      <c r="G291" s="42">
        <f>G292</f>
        <v>2359.7</v>
      </c>
    </row>
    <row r="292" spans="1:7" ht="33">
      <c r="A292" s="32" t="s">
        <v>69</v>
      </c>
      <c r="B292" s="32" t="s">
        <v>98</v>
      </c>
      <c r="C292" s="32" t="s">
        <v>318</v>
      </c>
      <c r="D292" s="44" t="s">
        <v>108</v>
      </c>
      <c r="E292" s="10" t="s">
        <v>454</v>
      </c>
      <c r="F292" s="42">
        <f>1798+116.2+100+345.8</f>
        <v>2360</v>
      </c>
      <c r="G292" s="42">
        <v>2359.7</v>
      </c>
    </row>
    <row r="293" spans="1:7" ht="33">
      <c r="A293" s="32" t="s">
        <v>69</v>
      </c>
      <c r="B293" s="32" t="s">
        <v>98</v>
      </c>
      <c r="C293" s="32" t="s">
        <v>319</v>
      </c>
      <c r="D293" s="32"/>
      <c r="E293" s="30" t="s">
        <v>171</v>
      </c>
      <c r="F293" s="42">
        <f>F294</f>
        <v>98</v>
      </c>
      <c r="G293" s="42">
        <f>G294</f>
        <v>98</v>
      </c>
    </row>
    <row r="294" spans="1:7" ht="33">
      <c r="A294" s="32" t="s">
        <v>69</v>
      </c>
      <c r="B294" s="32" t="s">
        <v>98</v>
      </c>
      <c r="C294" s="32" t="s">
        <v>319</v>
      </c>
      <c r="D294" s="44" t="s">
        <v>108</v>
      </c>
      <c r="E294" s="10" t="s">
        <v>454</v>
      </c>
      <c r="F294" s="42">
        <f>208-110</f>
        <v>98</v>
      </c>
      <c r="G294" s="42">
        <v>98</v>
      </c>
    </row>
    <row r="295" spans="1:7" ht="33">
      <c r="A295" s="32" t="s">
        <v>69</v>
      </c>
      <c r="B295" s="32" t="s">
        <v>98</v>
      </c>
      <c r="C295" s="32" t="s">
        <v>510</v>
      </c>
      <c r="D295" s="32"/>
      <c r="E295" s="30" t="s">
        <v>511</v>
      </c>
      <c r="F295" s="42">
        <f>F296</f>
        <v>120</v>
      </c>
      <c r="G295" s="42">
        <f>G296</f>
        <v>120</v>
      </c>
    </row>
    <row r="296" spans="1:7" ht="33">
      <c r="A296" s="32" t="s">
        <v>69</v>
      </c>
      <c r="B296" s="32" t="s">
        <v>98</v>
      </c>
      <c r="C296" s="32" t="s">
        <v>510</v>
      </c>
      <c r="D296" s="44" t="s">
        <v>108</v>
      </c>
      <c r="E296" s="10" t="s">
        <v>454</v>
      </c>
      <c r="F296" s="42">
        <v>120</v>
      </c>
      <c r="G296" s="42">
        <v>120</v>
      </c>
    </row>
    <row r="297" spans="1:7" ht="12.75">
      <c r="A297" s="32" t="s">
        <v>69</v>
      </c>
      <c r="B297" s="32" t="s">
        <v>98</v>
      </c>
      <c r="C297" s="9" t="s">
        <v>320</v>
      </c>
      <c r="D297" s="9"/>
      <c r="E297" s="31" t="s">
        <v>5</v>
      </c>
      <c r="F297" s="42">
        <f>F298</f>
        <v>5660.3</v>
      </c>
      <c r="G297" s="42">
        <f>G298</f>
        <v>5651.200000000001</v>
      </c>
    </row>
    <row r="298" spans="1:7" ht="12.75">
      <c r="A298" s="32" t="s">
        <v>69</v>
      </c>
      <c r="B298" s="32" t="s">
        <v>98</v>
      </c>
      <c r="C298" s="9" t="s">
        <v>430</v>
      </c>
      <c r="D298" s="9"/>
      <c r="E298" s="31" t="s">
        <v>448</v>
      </c>
      <c r="F298" s="42">
        <f>F299</f>
        <v>5660.3</v>
      </c>
      <c r="G298" s="42">
        <f>G299</f>
        <v>5651.200000000001</v>
      </c>
    </row>
    <row r="299" spans="1:7" ht="66">
      <c r="A299" s="32" t="s">
        <v>69</v>
      </c>
      <c r="B299" s="32" t="s">
        <v>98</v>
      </c>
      <c r="C299" s="32" t="s">
        <v>317</v>
      </c>
      <c r="D299" s="9"/>
      <c r="E299" s="31" t="s">
        <v>113</v>
      </c>
      <c r="F299" s="42">
        <f>F300+F301</f>
        <v>5660.3</v>
      </c>
      <c r="G299" s="42">
        <f>G300+G301</f>
        <v>5651.200000000001</v>
      </c>
    </row>
    <row r="300" spans="1:7" ht="66">
      <c r="A300" s="32" t="s">
        <v>69</v>
      </c>
      <c r="B300" s="32" t="s">
        <v>98</v>
      </c>
      <c r="C300" s="32" t="s">
        <v>317</v>
      </c>
      <c r="D300" s="44" t="s">
        <v>107</v>
      </c>
      <c r="E300" s="10" t="s">
        <v>6</v>
      </c>
      <c r="F300" s="42">
        <v>5247.3</v>
      </c>
      <c r="G300" s="42">
        <v>5247.1</v>
      </c>
    </row>
    <row r="301" spans="1:7" ht="33">
      <c r="A301" s="32" t="s">
        <v>69</v>
      </c>
      <c r="B301" s="32" t="s">
        <v>98</v>
      </c>
      <c r="C301" s="32" t="s">
        <v>317</v>
      </c>
      <c r="D301" s="44" t="s">
        <v>108</v>
      </c>
      <c r="E301" s="10" t="s">
        <v>454</v>
      </c>
      <c r="F301" s="42">
        <v>413</v>
      </c>
      <c r="G301" s="42">
        <v>404.1</v>
      </c>
    </row>
    <row r="302" spans="1:7" ht="12.75">
      <c r="A302" s="32" t="s">
        <v>69</v>
      </c>
      <c r="B302" s="32" t="s">
        <v>98</v>
      </c>
      <c r="C302" s="4">
        <v>9900000000</v>
      </c>
      <c r="D302" s="45"/>
      <c r="E302" s="31" t="s">
        <v>9</v>
      </c>
      <c r="F302" s="42">
        <f aca="true" t="shared" si="23" ref="F302:G304">F303</f>
        <v>483.7</v>
      </c>
      <c r="G302" s="42">
        <f t="shared" si="23"/>
        <v>483.7</v>
      </c>
    </row>
    <row r="303" spans="1:7" ht="33">
      <c r="A303" s="32" t="s">
        <v>69</v>
      </c>
      <c r="B303" s="32" t="s">
        <v>98</v>
      </c>
      <c r="C303" s="4">
        <v>9940000000</v>
      </c>
      <c r="D303" s="44"/>
      <c r="E303" s="10" t="s">
        <v>477</v>
      </c>
      <c r="F303" s="42">
        <f t="shared" si="23"/>
        <v>483.7</v>
      </c>
      <c r="G303" s="42">
        <f t="shared" si="23"/>
        <v>483.7</v>
      </c>
    </row>
    <row r="304" spans="1:7" ht="12.75">
      <c r="A304" s="32" t="s">
        <v>69</v>
      </c>
      <c r="B304" s="32" t="s">
        <v>98</v>
      </c>
      <c r="C304" s="4" t="s">
        <v>478</v>
      </c>
      <c r="D304" s="44"/>
      <c r="E304" s="10" t="s">
        <v>479</v>
      </c>
      <c r="F304" s="42">
        <f t="shared" si="23"/>
        <v>483.7</v>
      </c>
      <c r="G304" s="42">
        <f t="shared" si="23"/>
        <v>483.7</v>
      </c>
    </row>
    <row r="305" spans="1:7" ht="12.75">
      <c r="A305" s="32" t="s">
        <v>69</v>
      </c>
      <c r="B305" s="32" t="s">
        <v>98</v>
      </c>
      <c r="C305" s="4" t="s">
        <v>478</v>
      </c>
      <c r="D305" s="44" t="s">
        <v>109</v>
      </c>
      <c r="E305" s="46" t="s">
        <v>110</v>
      </c>
      <c r="F305" s="42">
        <f>480.7+3</f>
        <v>483.7</v>
      </c>
      <c r="G305" s="42">
        <v>483.7</v>
      </c>
    </row>
    <row r="306" spans="1:7" ht="12.75">
      <c r="A306" s="32" t="s">
        <v>69</v>
      </c>
      <c r="B306" s="32" t="s">
        <v>94</v>
      </c>
      <c r="C306" s="32"/>
      <c r="D306" s="32"/>
      <c r="E306" s="10" t="s">
        <v>60</v>
      </c>
      <c r="F306" s="42">
        <f aca="true" t="shared" si="24" ref="F306:G311">F307</f>
        <v>363</v>
      </c>
      <c r="G306" s="42">
        <f t="shared" si="24"/>
        <v>363</v>
      </c>
    </row>
    <row r="307" spans="1:7" ht="12.75">
      <c r="A307" s="32" t="s">
        <v>69</v>
      </c>
      <c r="B307" s="32" t="s">
        <v>85</v>
      </c>
      <c r="C307" s="32"/>
      <c r="D307" s="32"/>
      <c r="E307" s="10" t="s">
        <v>61</v>
      </c>
      <c r="F307" s="42">
        <f t="shared" si="24"/>
        <v>363</v>
      </c>
      <c r="G307" s="42">
        <f t="shared" si="24"/>
        <v>363</v>
      </c>
    </row>
    <row r="308" spans="1:7" ht="49.5">
      <c r="A308" s="32" t="s">
        <v>69</v>
      </c>
      <c r="B308" s="32" t="s">
        <v>85</v>
      </c>
      <c r="C308" s="9" t="s">
        <v>314</v>
      </c>
      <c r="D308" s="44"/>
      <c r="E308" s="10" t="s">
        <v>168</v>
      </c>
      <c r="F308" s="42">
        <f t="shared" si="24"/>
        <v>363</v>
      </c>
      <c r="G308" s="42">
        <f t="shared" si="24"/>
        <v>363</v>
      </c>
    </row>
    <row r="309" spans="1:7" ht="33">
      <c r="A309" s="32" t="s">
        <v>69</v>
      </c>
      <c r="B309" s="32" t="s">
        <v>85</v>
      </c>
      <c r="C309" s="9" t="s">
        <v>315</v>
      </c>
      <c r="D309" s="44"/>
      <c r="E309" s="10" t="s">
        <v>169</v>
      </c>
      <c r="F309" s="42">
        <f t="shared" si="24"/>
        <v>363</v>
      </c>
      <c r="G309" s="42">
        <f t="shared" si="24"/>
        <v>363</v>
      </c>
    </row>
    <row r="310" spans="1:7" ht="33">
      <c r="A310" s="32" t="s">
        <v>69</v>
      </c>
      <c r="B310" s="32" t="s">
        <v>85</v>
      </c>
      <c r="C310" s="9" t="s">
        <v>431</v>
      </c>
      <c r="D310" s="44"/>
      <c r="E310" s="30" t="s">
        <v>444</v>
      </c>
      <c r="F310" s="42">
        <f t="shared" si="24"/>
        <v>363</v>
      </c>
      <c r="G310" s="42">
        <f t="shared" si="24"/>
        <v>363</v>
      </c>
    </row>
    <row r="311" spans="1:7" ht="33">
      <c r="A311" s="32" t="s">
        <v>69</v>
      </c>
      <c r="B311" s="32" t="s">
        <v>85</v>
      </c>
      <c r="C311" s="9" t="s">
        <v>321</v>
      </c>
      <c r="D311" s="44"/>
      <c r="E311" s="10" t="s">
        <v>172</v>
      </c>
      <c r="F311" s="42">
        <f t="shared" si="24"/>
        <v>363</v>
      </c>
      <c r="G311" s="42">
        <f t="shared" si="24"/>
        <v>363</v>
      </c>
    </row>
    <row r="312" spans="1:7" ht="33">
      <c r="A312" s="32" t="s">
        <v>69</v>
      </c>
      <c r="B312" s="32" t="s">
        <v>85</v>
      </c>
      <c r="C312" s="9" t="s">
        <v>321</v>
      </c>
      <c r="D312" s="44" t="s">
        <v>108</v>
      </c>
      <c r="E312" s="10" t="s">
        <v>454</v>
      </c>
      <c r="F312" s="42">
        <f>684.4+416.9-738.3</f>
        <v>363</v>
      </c>
      <c r="G312" s="42">
        <v>363</v>
      </c>
    </row>
    <row r="313" spans="1:7" ht="12.75">
      <c r="A313" s="32" t="s">
        <v>69</v>
      </c>
      <c r="B313" s="32" t="s">
        <v>95</v>
      </c>
      <c r="C313" s="9"/>
      <c r="D313" s="9"/>
      <c r="E313" s="41" t="s">
        <v>62</v>
      </c>
      <c r="F313" s="42">
        <f aca="true" t="shared" si="25" ref="F313:G318">F314</f>
        <v>2102.7</v>
      </c>
      <c r="G313" s="42">
        <f t="shared" si="25"/>
        <v>2052.2</v>
      </c>
    </row>
    <row r="314" spans="1:7" ht="12.75">
      <c r="A314" s="32" t="s">
        <v>69</v>
      </c>
      <c r="B314" s="32" t="s">
        <v>17</v>
      </c>
      <c r="C314" s="9"/>
      <c r="D314" s="9"/>
      <c r="E314" s="41" t="s">
        <v>18</v>
      </c>
      <c r="F314" s="42">
        <f t="shared" si="25"/>
        <v>2102.7</v>
      </c>
      <c r="G314" s="42">
        <f t="shared" si="25"/>
        <v>2052.2</v>
      </c>
    </row>
    <row r="315" spans="1:7" ht="49.5">
      <c r="A315" s="32" t="s">
        <v>69</v>
      </c>
      <c r="B315" s="32" t="s">
        <v>17</v>
      </c>
      <c r="C315" s="32" t="s">
        <v>314</v>
      </c>
      <c r="D315" s="32"/>
      <c r="E315" s="30" t="s">
        <v>168</v>
      </c>
      <c r="F315" s="42">
        <f t="shared" si="25"/>
        <v>2102.7</v>
      </c>
      <c r="G315" s="42">
        <f t="shared" si="25"/>
        <v>2052.2</v>
      </c>
    </row>
    <row r="316" spans="1:7" ht="33">
      <c r="A316" s="32" t="s">
        <v>69</v>
      </c>
      <c r="B316" s="32" t="s">
        <v>17</v>
      </c>
      <c r="C316" s="32" t="s">
        <v>315</v>
      </c>
      <c r="D316" s="32"/>
      <c r="E316" s="30" t="s">
        <v>169</v>
      </c>
      <c r="F316" s="42">
        <f>F317+F320</f>
        <v>2102.7</v>
      </c>
      <c r="G316" s="42">
        <f>G317+G320</f>
        <v>2052.2</v>
      </c>
    </row>
    <row r="317" spans="1:7" ht="49.5">
      <c r="A317" s="32" t="s">
        <v>69</v>
      </c>
      <c r="B317" s="32" t="s">
        <v>17</v>
      </c>
      <c r="C317" s="32" t="s">
        <v>429</v>
      </c>
      <c r="D317" s="32"/>
      <c r="E317" s="30" t="s">
        <v>443</v>
      </c>
      <c r="F317" s="42">
        <f t="shared" si="25"/>
        <v>1765</v>
      </c>
      <c r="G317" s="42">
        <f t="shared" si="25"/>
        <v>1714.5</v>
      </c>
    </row>
    <row r="318" spans="1:7" ht="49.5">
      <c r="A318" s="32" t="s">
        <v>69</v>
      </c>
      <c r="B318" s="32" t="s">
        <v>17</v>
      </c>
      <c r="C318" s="32" t="s">
        <v>322</v>
      </c>
      <c r="D318" s="32"/>
      <c r="E318" s="30" t="s">
        <v>235</v>
      </c>
      <c r="F318" s="42">
        <f t="shared" si="25"/>
        <v>1765</v>
      </c>
      <c r="G318" s="42">
        <f t="shared" si="25"/>
        <v>1714.5</v>
      </c>
    </row>
    <row r="319" spans="1:7" ht="33">
      <c r="A319" s="32" t="s">
        <v>69</v>
      </c>
      <c r="B319" s="32" t="s">
        <v>17</v>
      </c>
      <c r="C319" s="32" t="s">
        <v>322</v>
      </c>
      <c r="D319" s="44" t="s">
        <v>108</v>
      </c>
      <c r="E319" s="10" t="s">
        <v>454</v>
      </c>
      <c r="F319" s="42">
        <f>1573.5+191.5</f>
        <v>1765</v>
      </c>
      <c r="G319" s="16">
        <v>1714.5</v>
      </c>
    </row>
    <row r="320" spans="1:7" ht="33">
      <c r="A320" s="32" t="s">
        <v>69</v>
      </c>
      <c r="B320" s="32" t="s">
        <v>17</v>
      </c>
      <c r="C320" s="32" t="s">
        <v>431</v>
      </c>
      <c r="D320" s="44"/>
      <c r="E320" s="30" t="s">
        <v>444</v>
      </c>
      <c r="F320" s="42">
        <f>F321</f>
        <v>337.7</v>
      </c>
      <c r="G320" s="42">
        <f>G321</f>
        <v>337.7</v>
      </c>
    </row>
    <row r="321" spans="1:7" ht="49.5">
      <c r="A321" s="32" t="s">
        <v>69</v>
      </c>
      <c r="B321" s="32" t="s">
        <v>17</v>
      </c>
      <c r="C321" s="32" t="s">
        <v>476</v>
      </c>
      <c r="D321" s="44"/>
      <c r="E321" s="10" t="s">
        <v>475</v>
      </c>
      <c r="F321" s="42">
        <f>F322</f>
        <v>337.7</v>
      </c>
      <c r="G321" s="42">
        <f>G322</f>
        <v>337.7</v>
      </c>
    </row>
    <row r="322" spans="1:7" ht="33">
      <c r="A322" s="32" t="s">
        <v>69</v>
      </c>
      <c r="B322" s="32" t="s">
        <v>17</v>
      </c>
      <c r="C322" s="32" t="s">
        <v>476</v>
      </c>
      <c r="D322" s="44" t="s">
        <v>108</v>
      </c>
      <c r="E322" s="10" t="s">
        <v>454</v>
      </c>
      <c r="F322" s="42">
        <f>452.7-103-12</f>
        <v>337.7</v>
      </c>
      <c r="G322" s="16">
        <v>337.7</v>
      </c>
    </row>
    <row r="323" spans="1:7" ht="12.75">
      <c r="A323" s="32" t="s">
        <v>69</v>
      </c>
      <c r="B323" s="32" t="s">
        <v>75</v>
      </c>
      <c r="C323" s="9"/>
      <c r="D323" s="44"/>
      <c r="E323" s="10" t="s">
        <v>67</v>
      </c>
      <c r="F323" s="42">
        <f aca="true" t="shared" si="26" ref="F323:G328">F324</f>
        <v>6864.9</v>
      </c>
      <c r="G323" s="42">
        <f t="shared" si="26"/>
        <v>6770.8</v>
      </c>
    </row>
    <row r="324" spans="1:7" ht="12.75">
      <c r="A324" s="32" t="s">
        <v>69</v>
      </c>
      <c r="B324" s="32" t="s">
        <v>144</v>
      </c>
      <c r="C324" s="9"/>
      <c r="D324" s="44"/>
      <c r="E324" s="10" t="s">
        <v>145</v>
      </c>
      <c r="F324" s="42">
        <f t="shared" si="26"/>
        <v>6864.9</v>
      </c>
      <c r="G324" s="42">
        <f t="shared" si="26"/>
        <v>6770.8</v>
      </c>
    </row>
    <row r="325" spans="1:7" ht="49.5">
      <c r="A325" s="32" t="s">
        <v>69</v>
      </c>
      <c r="B325" s="32" t="s">
        <v>144</v>
      </c>
      <c r="C325" s="9" t="s">
        <v>284</v>
      </c>
      <c r="D325" s="44"/>
      <c r="E325" s="10" t="s">
        <v>173</v>
      </c>
      <c r="F325" s="42">
        <f t="shared" si="26"/>
        <v>6864.9</v>
      </c>
      <c r="G325" s="42">
        <f t="shared" si="26"/>
        <v>6770.8</v>
      </c>
    </row>
    <row r="326" spans="1:7" ht="49.5">
      <c r="A326" s="32" t="s">
        <v>69</v>
      </c>
      <c r="B326" s="32" t="s">
        <v>144</v>
      </c>
      <c r="C326" s="9" t="s">
        <v>323</v>
      </c>
      <c r="D326" s="9"/>
      <c r="E326" s="41" t="s">
        <v>239</v>
      </c>
      <c r="F326" s="42">
        <f t="shared" si="26"/>
        <v>6864.9</v>
      </c>
      <c r="G326" s="42">
        <f t="shared" si="26"/>
        <v>6770.8</v>
      </c>
    </row>
    <row r="327" spans="1:7" ht="66">
      <c r="A327" s="32" t="s">
        <v>69</v>
      </c>
      <c r="B327" s="32" t="s">
        <v>144</v>
      </c>
      <c r="C327" s="9" t="s">
        <v>399</v>
      </c>
      <c r="D327" s="9"/>
      <c r="E327" s="41" t="s">
        <v>449</v>
      </c>
      <c r="F327" s="42">
        <f t="shared" si="26"/>
        <v>6864.9</v>
      </c>
      <c r="G327" s="42">
        <f t="shared" si="26"/>
        <v>6770.8</v>
      </c>
    </row>
    <row r="328" spans="1:7" ht="82.5">
      <c r="A328" s="32" t="s">
        <v>69</v>
      </c>
      <c r="B328" s="32" t="s">
        <v>144</v>
      </c>
      <c r="C328" s="9" t="s">
        <v>452</v>
      </c>
      <c r="D328" s="16"/>
      <c r="E328" s="41" t="s">
        <v>372</v>
      </c>
      <c r="F328" s="42">
        <f t="shared" si="26"/>
        <v>6864.9</v>
      </c>
      <c r="G328" s="42">
        <f t="shared" si="26"/>
        <v>6770.8</v>
      </c>
    </row>
    <row r="329" spans="1:7" ht="33">
      <c r="A329" s="32" t="s">
        <v>69</v>
      </c>
      <c r="B329" s="32" t="s">
        <v>144</v>
      </c>
      <c r="C329" s="9" t="s">
        <v>452</v>
      </c>
      <c r="D329" s="44">
        <v>400</v>
      </c>
      <c r="E329" s="10" t="s">
        <v>180</v>
      </c>
      <c r="F329" s="42">
        <v>6864.9</v>
      </c>
      <c r="G329" s="16">
        <v>6770.8</v>
      </c>
    </row>
    <row r="330" spans="1:7" ht="12.75">
      <c r="A330" s="33" t="s">
        <v>31</v>
      </c>
      <c r="B330" s="32"/>
      <c r="C330" s="33"/>
      <c r="D330" s="33"/>
      <c r="E330" s="34" t="s">
        <v>7</v>
      </c>
      <c r="F330" s="52">
        <f aca="true" t="shared" si="27" ref="F330:G333">F331</f>
        <v>4003.7999999999997</v>
      </c>
      <c r="G330" s="52">
        <f t="shared" si="27"/>
        <v>3981.2</v>
      </c>
    </row>
    <row r="331" spans="1:7" ht="12.75">
      <c r="A331" s="32" t="s">
        <v>31</v>
      </c>
      <c r="B331" s="12" t="s">
        <v>92</v>
      </c>
      <c r="C331" s="32"/>
      <c r="D331" s="32"/>
      <c r="E331" s="30" t="s">
        <v>38</v>
      </c>
      <c r="F331" s="42">
        <f t="shared" si="27"/>
        <v>4003.7999999999997</v>
      </c>
      <c r="G331" s="42">
        <f t="shared" si="27"/>
        <v>3981.2</v>
      </c>
    </row>
    <row r="332" spans="1:7" ht="49.5">
      <c r="A332" s="12" t="s">
        <v>31</v>
      </c>
      <c r="B332" s="12" t="s">
        <v>80</v>
      </c>
      <c r="C332" s="12"/>
      <c r="D332" s="16"/>
      <c r="E332" s="10" t="s">
        <v>56</v>
      </c>
      <c r="F332" s="42">
        <f t="shared" si="27"/>
        <v>4003.7999999999997</v>
      </c>
      <c r="G332" s="42">
        <f t="shared" si="27"/>
        <v>3981.2</v>
      </c>
    </row>
    <row r="333" spans="1:7" ht="12.75">
      <c r="A333" s="12" t="s">
        <v>31</v>
      </c>
      <c r="B333" s="12" t="s">
        <v>80</v>
      </c>
      <c r="C333" s="4">
        <v>9900000000</v>
      </c>
      <c r="D333" s="45"/>
      <c r="E333" s="31" t="s">
        <v>9</v>
      </c>
      <c r="F333" s="42">
        <f t="shared" si="27"/>
        <v>4003.7999999999997</v>
      </c>
      <c r="G333" s="42">
        <f t="shared" si="27"/>
        <v>3981.2</v>
      </c>
    </row>
    <row r="334" spans="1:7" ht="33">
      <c r="A334" s="12" t="s">
        <v>31</v>
      </c>
      <c r="B334" s="12" t="s">
        <v>80</v>
      </c>
      <c r="C334" s="4">
        <v>9990000000</v>
      </c>
      <c r="D334" s="9" t="s">
        <v>105</v>
      </c>
      <c r="E334" s="31" t="s">
        <v>10</v>
      </c>
      <c r="F334" s="42">
        <f>F335+F337</f>
        <v>4003.7999999999997</v>
      </c>
      <c r="G334" s="42">
        <f>G335+G337</f>
        <v>3981.2</v>
      </c>
    </row>
    <row r="335" spans="1:7" ht="12.75">
      <c r="A335" s="12" t="s">
        <v>31</v>
      </c>
      <c r="B335" s="12" t="s">
        <v>80</v>
      </c>
      <c r="C335" s="4" t="s">
        <v>324</v>
      </c>
      <c r="D335" s="9" t="s">
        <v>105</v>
      </c>
      <c r="E335" s="31" t="s">
        <v>11</v>
      </c>
      <c r="F335" s="42">
        <f>F336</f>
        <v>1198.9</v>
      </c>
      <c r="G335" s="42">
        <f>G336</f>
        <v>1198.9</v>
      </c>
    </row>
    <row r="336" spans="1:7" ht="66">
      <c r="A336" s="12" t="s">
        <v>31</v>
      </c>
      <c r="B336" s="12" t="s">
        <v>80</v>
      </c>
      <c r="C336" s="4" t="s">
        <v>324</v>
      </c>
      <c r="D336" s="44" t="s">
        <v>107</v>
      </c>
      <c r="E336" s="10" t="s">
        <v>6</v>
      </c>
      <c r="F336" s="42">
        <v>1198.9</v>
      </c>
      <c r="G336" s="16">
        <v>1198.9</v>
      </c>
    </row>
    <row r="337" spans="1:7" ht="33">
      <c r="A337" s="12" t="s">
        <v>31</v>
      </c>
      <c r="B337" s="12" t="s">
        <v>80</v>
      </c>
      <c r="C337" s="4" t="s">
        <v>325</v>
      </c>
      <c r="D337" s="9" t="s">
        <v>105</v>
      </c>
      <c r="E337" s="31" t="s">
        <v>12</v>
      </c>
      <c r="F337" s="42">
        <f>F338+F339+F340</f>
        <v>2804.8999999999996</v>
      </c>
      <c r="G337" s="42">
        <f>G338+G339+G340</f>
        <v>2782.2999999999997</v>
      </c>
    </row>
    <row r="338" spans="1:7" ht="66">
      <c r="A338" s="12" t="s">
        <v>31</v>
      </c>
      <c r="B338" s="12" t="s">
        <v>80</v>
      </c>
      <c r="C338" s="4" t="s">
        <v>325</v>
      </c>
      <c r="D338" s="44" t="s">
        <v>107</v>
      </c>
      <c r="E338" s="10" t="s">
        <v>6</v>
      </c>
      <c r="F338" s="42">
        <f>1903.3+7.1</f>
        <v>1910.3999999999999</v>
      </c>
      <c r="G338" s="42">
        <v>1892.1</v>
      </c>
    </row>
    <row r="339" spans="1:7" ht="33">
      <c r="A339" s="12" t="s">
        <v>31</v>
      </c>
      <c r="B339" s="12" t="s">
        <v>80</v>
      </c>
      <c r="C339" s="4" t="s">
        <v>325</v>
      </c>
      <c r="D339" s="44" t="s">
        <v>108</v>
      </c>
      <c r="E339" s="10" t="s">
        <v>454</v>
      </c>
      <c r="F339" s="42">
        <f>542.8+350</f>
        <v>892.8</v>
      </c>
      <c r="G339" s="42">
        <v>888.5</v>
      </c>
    </row>
    <row r="340" spans="1:7" ht="12.75">
      <c r="A340" s="12" t="s">
        <v>31</v>
      </c>
      <c r="B340" s="12" t="s">
        <v>80</v>
      </c>
      <c r="C340" s="4" t="s">
        <v>325</v>
      </c>
      <c r="D340" s="44" t="s">
        <v>109</v>
      </c>
      <c r="E340" s="10" t="s">
        <v>110</v>
      </c>
      <c r="F340" s="42">
        <v>1.7</v>
      </c>
      <c r="G340" s="42">
        <v>1.7</v>
      </c>
    </row>
    <row r="341" spans="1:7" ht="33">
      <c r="A341" s="33" t="s">
        <v>16</v>
      </c>
      <c r="B341" s="12"/>
      <c r="C341" s="33"/>
      <c r="D341" s="33"/>
      <c r="E341" s="34" t="s">
        <v>21</v>
      </c>
      <c r="F341" s="52">
        <f>F348+F393+F382+F342</f>
        <v>35331.399999999994</v>
      </c>
      <c r="G341" s="52">
        <f>G348+G393+G382+G342</f>
        <v>35329.2</v>
      </c>
    </row>
    <row r="342" spans="1:7" ht="12.75">
      <c r="A342" s="12" t="s">
        <v>16</v>
      </c>
      <c r="B342" s="32" t="s">
        <v>92</v>
      </c>
      <c r="C342" s="32"/>
      <c r="D342" s="32"/>
      <c r="E342" s="30" t="s">
        <v>38</v>
      </c>
      <c r="F342" s="42">
        <f aca="true" t="shared" si="28" ref="F342:G346">F343</f>
        <v>232.2</v>
      </c>
      <c r="G342" s="42">
        <f t="shared" si="28"/>
        <v>232.2</v>
      </c>
    </row>
    <row r="343" spans="1:7" ht="12.75">
      <c r="A343" s="12" t="s">
        <v>16</v>
      </c>
      <c r="B343" s="32" t="s">
        <v>98</v>
      </c>
      <c r="C343" s="32"/>
      <c r="D343" s="32"/>
      <c r="E343" s="10" t="s">
        <v>58</v>
      </c>
      <c r="F343" s="42">
        <f t="shared" si="28"/>
        <v>232.2</v>
      </c>
      <c r="G343" s="42">
        <f t="shared" si="28"/>
        <v>232.2</v>
      </c>
    </row>
    <row r="344" spans="1:7" ht="12.75">
      <c r="A344" s="12" t="s">
        <v>16</v>
      </c>
      <c r="B344" s="32" t="s">
        <v>98</v>
      </c>
      <c r="C344" s="4">
        <v>9900000000</v>
      </c>
      <c r="D344" s="45"/>
      <c r="E344" s="31" t="s">
        <v>9</v>
      </c>
      <c r="F344" s="42">
        <f t="shared" si="28"/>
        <v>232.2</v>
      </c>
      <c r="G344" s="42">
        <f t="shared" si="28"/>
        <v>232.2</v>
      </c>
    </row>
    <row r="345" spans="1:7" ht="33">
      <c r="A345" s="12" t="s">
        <v>16</v>
      </c>
      <c r="B345" s="32" t="s">
        <v>98</v>
      </c>
      <c r="C345" s="4">
        <v>9940000000</v>
      </c>
      <c r="D345" s="44"/>
      <c r="E345" s="10" t="s">
        <v>477</v>
      </c>
      <c r="F345" s="42">
        <f t="shared" si="28"/>
        <v>232.2</v>
      </c>
      <c r="G345" s="42">
        <f t="shared" si="28"/>
        <v>232.2</v>
      </c>
    </row>
    <row r="346" spans="1:7" ht="12.75">
      <c r="A346" s="12" t="s">
        <v>16</v>
      </c>
      <c r="B346" s="32" t="s">
        <v>98</v>
      </c>
      <c r="C346" s="4" t="s">
        <v>478</v>
      </c>
      <c r="D346" s="44"/>
      <c r="E346" s="10" t="s">
        <v>479</v>
      </c>
      <c r="F346" s="42">
        <f t="shared" si="28"/>
        <v>232.2</v>
      </c>
      <c r="G346" s="42">
        <f t="shared" si="28"/>
        <v>232.2</v>
      </c>
    </row>
    <row r="347" spans="1:7" ht="12.75">
      <c r="A347" s="12" t="s">
        <v>16</v>
      </c>
      <c r="B347" s="32" t="s">
        <v>98</v>
      </c>
      <c r="C347" s="4" t="s">
        <v>478</v>
      </c>
      <c r="D347" s="44" t="s">
        <v>109</v>
      </c>
      <c r="E347" s="46" t="s">
        <v>110</v>
      </c>
      <c r="F347" s="42">
        <v>232.2</v>
      </c>
      <c r="G347" s="16">
        <v>232.2</v>
      </c>
    </row>
    <row r="348" spans="1:7" ht="12.75">
      <c r="A348" s="12" t="s">
        <v>16</v>
      </c>
      <c r="B348" s="12" t="s">
        <v>73</v>
      </c>
      <c r="C348" s="12"/>
      <c r="D348" s="16"/>
      <c r="E348" s="41" t="s">
        <v>65</v>
      </c>
      <c r="F348" s="42">
        <f>F349+F357</f>
        <v>18373.2</v>
      </c>
      <c r="G348" s="42">
        <f>G349+G357</f>
        <v>18373</v>
      </c>
    </row>
    <row r="349" spans="1:7" ht="12.75">
      <c r="A349" s="12" t="s">
        <v>16</v>
      </c>
      <c r="B349" s="12" t="s">
        <v>89</v>
      </c>
      <c r="C349" s="12"/>
      <c r="D349" s="16"/>
      <c r="E349" s="41" t="s">
        <v>27</v>
      </c>
      <c r="F349" s="42">
        <f aca="true" t="shared" si="29" ref="F349:G350">F350</f>
        <v>12956.599999999999</v>
      </c>
      <c r="G349" s="42">
        <f t="shared" si="29"/>
        <v>12956.6</v>
      </c>
    </row>
    <row r="350" spans="1:7" ht="49.5">
      <c r="A350" s="12" t="s">
        <v>16</v>
      </c>
      <c r="B350" s="12" t="s">
        <v>89</v>
      </c>
      <c r="C350" s="12" t="s">
        <v>326</v>
      </c>
      <c r="D350" s="16"/>
      <c r="E350" s="10" t="s">
        <v>159</v>
      </c>
      <c r="F350" s="42">
        <f t="shared" si="29"/>
        <v>12956.599999999999</v>
      </c>
      <c r="G350" s="42">
        <f t="shared" si="29"/>
        <v>12956.6</v>
      </c>
    </row>
    <row r="351" spans="1:7" ht="33">
      <c r="A351" s="12" t="s">
        <v>16</v>
      </c>
      <c r="B351" s="12" t="s">
        <v>89</v>
      </c>
      <c r="C351" s="12" t="s">
        <v>327</v>
      </c>
      <c r="D351" s="16"/>
      <c r="E351" s="10" t="s">
        <v>160</v>
      </c>
      <c r="F351" s="42">
        <f>F352</f>
        <v>12956.599999999999</v>
      </c>
      <c r="G351" s="42">
        <f>G352</f>
        <v>12956.6</v>
      </c>
    </row>
    <row r="352" spans="1:7" ht="49.5">
      <c r="A352" s="12" t="s">
        <v>16</v>
      </c>
      <c r="B352" s="12" t="s">
        <v>89</v>
      </c>
      <c r="C352" s="12" t="s">
        <v>393</v>
      </c>
      <c r="D352" s="16"/>
      <c r="E352" s="10" t="s">
        <v>394</v>
      </c>
      <c r="F352" s="42">
        <f>F353+F355</f>
        <v>12956.599999999999</v>
      </c>
      <c r="G352" s="42">
        <f>G353+G355</f>
        <v>12956.6</v>
      </c>
    </row>
    <row r="353" spans="1:7" ht="49.5">
      <c r="A353" s="12" t="s">
        <v>16</v>
      </c>
      <c r="B353" s="12" t="s">
        <v>89</v>
      </c>
      <c r="C353" s="12" t="s">
        <v>328</v>
      </c>
      <c r="D353" s="16"/>
      <c r="E353" s="10" t="s">
        <v>161</v>
      </c>
      <c r="F353" s="42">
        <f>F354</f>
        <v>11720.9</v>
      </c>
      <c r="G353" s="42">
        <f>G354</f>
        <v>11720.9</v>
      </c>
    </row>
    <row r="354" spans="1:7" ht="33">
      <c r="A354" s="12" t="s">
        <v>16</v>
      </c>
      <c r="B354" s="12" t="s">
        <v>89</v>
      </c>
      <c r="C354" s="12" t="s">
        <v>328</v>
      </c>
      <c r="D354" s="16">
        <v>600</v>
      </c>
      <c r="E354" s="10" t="s">
        <v>131</v>
      </c>
      <c r="F354" s="42">
        <f>11710.9+10</f>
        <v>11720.9</v>
      </c>
      <c r="G354" s="16">
        <v>11720.9</v>
      </c>
    </row>
    <row r="355" spans="1:7" ht="49.5">
      <c r="A355" s="12" t="s">
        <v>16</v>
      </c>
      <c r="B355" s="12" t="s">
        <v>89</v>
      </c>
      <c r="C355" s="12" t="s">
        <v>329</v>
      </c>
      <c r="D355" s="16"/>
      <c r="E355" s="10" t="s">
        <v>246</v>
      </c>
      <c r="F355" s="42">
        <f>F356</f>
        <v>1235.6999999999998</v>
      </c>
      <c r="G355" s="42">
        <f>G356</f>
        <v>1235.7</v>
      </c>
    </row>
    <row r="356" spans="1:7" ht="33">
      <c r="A356" s="12" t="s">
        <v>16</v>
      </c>
      <c r="B356" s="12" t="s">
        <v>89</v>
      </c>
      <c r="C356" s="12" t="s">
        <v>329</v>
      </c>
      <c r="D356" s="16">
        <v>600</v>
      </c>
      <c r="E356" s="10" t="s">
        <v>131</v>
      </c>
      <c r="F356" s="42">
        <f>500+399+360.6-23.9</f>
        <v>1235.6999999999998</v>
      </c>
      <c r="G356" s="16">
        <v>1235.7</v>
      </c>
    </row>
    <row r="357" spans="1:7" ht="12.75">
      <c r="A357" s="12" t="s">
        <v>16</v>
      </c>
      <c r="B357" s="12" t="s">
        <v>74</v>
      </c>
      <c r="C357" s="12"/>
      <c r="D357" s="16"/>
      <c r="E357" s="10" t="s">
        <v>642</v>
      </c>
      <c r="F357" s="42">
        <f aca="true" t="shared" si="30" ref="F357:G357">F358</f>
        <v>5416.600000000001</v>
      </c>
      <c r="G357" s="42">
        <f t="shared" si="30"/>
        <v>5416.400000000001</v>
      </c>
    </row>
    <row r="358" spans="1:7" ht="33">
      <c r="A358" s="12" t="s">
        <v>16</v>
      </c>
      <c r="B358" s="12" t="s">
        <v>74</v>
      </c>
      <c r="C358" s="12" t="s">
        <v>330</v>
      </c>
      <c r="D358" s="16"/>
      <c r="E358" s="10" t="s">
        <v>127</v>
      </c>
      <c r="F358" s="42">
        <f>F363+F359</f>
        <v>5416.600000000001</v>
      </c>
      <c r="G358" s="42">
        <f>G363+G359</f>
        <v>5416.400000000001</v>
      </c>
    </row>
    <row r="359" spans="1:7" ht="33">
      <c r="A359" s="12" t="s">
        <v>16</v>
      </c>
      <c r="B359" s="12" t="s">
        <v>74</v>
      </c>
      <c r="C359" s="12" t="s">
        <v>331</v>
      </c>
      <c r="D359" s="16"/>
      <c r="E359" s="10" t="s">
        <v>128</v>
      </c>
      <c r="F359" s="42">
        <f aca="true" t="shared" si="31" ref="F359:G361">F360</f>
        <v>246.29999999999998</v>
      </c>
      <c r="G359" s="42">
        <f t="shared" si="31"/>
        <v>246.3</v>
      </c>
    </row>
    <row r="360" spans="1:7" ht="33">
      <c r="A360" s="12" t="s">
        <v>16</v>
      </c>
      <c r="B360" s="12" t="s">
        <v>74</v>
      </c>
      <c r="C360" s="12" t="s">
        <v>374</v>
      </c>
      <c r="D360" s="16"/>
      <c r="E360" s="10" t="s">
        <v>376</v>
      </c>
      <c r="F360" s="42">
        <f t="shared" si="31"/>
        <v>246.29999999999998</v>
      </c>
      <c r="G360" s="42">
        <f t="shared" si="31"/>
        <v>246.3</v>
      </c>
    </row>
    <row r="361" spans="1:7" ht="33">
      <c r="A361" s="12" t="s">
        <v>16</v>
      </c>
      <c r="B361" s="12" t="s">
        <v>74</v>
      </c>
      <c r="C361" s="12" t="s">
        <v>499</v>
      </c>
      <c r="D361" s="16"/>
      <c r="E361" s="10" t="s">
        <v>497</v>
      </c>
      <c r="F361" s="42">
        <f t="shared" si="31"/>
        <v>246.29999999999998</v>
      </c>
      <c r="G361" s="42">
        <f t="shared" si="31"/>
        <v>246.3</v>
      </c>
    </row>
    <row r="362" spans="1:7" ht="33">
      <c r="A362" s="12" t="s">
        <v>16</v>
      </c>
      <c r="B362" s="12" t="s">
        <v>74</v>
      </c>
      <c r="C362" s="12" t="s">
        <v>499</v>
      </c>
      <c r="D362" s="16">
        <v>600</v>
      </c>
      <c r="E362" s="41" t="s">
        <v>131</v>
      </c>
      <c r="F362" s="42">
        <f>214.2+32.1</f>
        <v>246.29999999999998</v>
      </c>
      <c r="G362" s="16">
        <v>246.3</v>
      </c>
    </row>
    <row r="363" spans="1:7" ht="49.5">
      <c r="A363" s="12" t="s">
        <v>16</v>
      </c>
      <c r="B363" s="12" t="s">
        <v>74</v>
      </c>
      <c r="C363" s="12" t="s">
        <v>332</v>
      </c>
      <c r="D363" s="16"/>
      <c r="E363" s="10" t="s">
        <v>152</v>
      </c>
      <c r="F363" s="42">
        <f>F364+F379</f>
        <v>5170.300000000001</v>
      </c>
      <c r="G363" s="42">
        <f>G364+G379</f>
        <v>5170.1</v>
      </c>
    </row>
    <row r="364" spans="1:7" ht="33">
      <c r="A364" s="12" t="s">
        <v>16</v>
      </c>
      <c r="B364" s="12" t="s">
        <v>74</v>
      </c>
      <c r="C364" s="12" t="s">
        <v>379</v>
      </c>
      <c r="D364" s="16"/>
      <c r="E364" s="10" t="s">
        <v>380</v>
      </c>
      <c r="F364" s="42">
        <f>F365+F367+F369+F371+F373+F375+F377</f>
        <v>5107.300000000001</v>
      </c>
      <c r="G364" s="42">
        <f>G365+G367+G369+G371+G373+G375+G377</f>
        <v>5107.1</v>
      </c>
    </row>
    <row r="365" spans="1:7" ht="12.75">
      <c r="A365" s="12" t="s">
        <v>16</v>
      </c>
      <c r="B365" s="12" t="s">
        <v>74</v>
      </c>
      <c r="C365" s="9" t="s">
        <v>333</v>
      </c>
      <c r="D365" s="9"/>
      <c r="E365" s="41" t="s">
        <v>153</v>
      </c>
      <c r="F365" s="42">
        <f>F366</f>
        <v>55</v>
      </c>
      <c r="G365" s="42">
        <f>G366</f>
        <v>55</v>
      </c>
    </row>
    <row r="366" spans="1:7" ht="12.75">
      <c r="A366" s="12" t="s">
        <v>16</v>
      </c>
      <c r="B366" s="12" t="s">
        <v>74</v>
      </c>
      <c r="C366" s="9" t="s">
        <v>333</v>
      </c>
      <c r="D366" s="16" t="s">
        <v>111</v>
      </c>
      <c r="E366" s="10" t="s">
        <v>112</v>
      </c>
      <c r="F366" s="42">
        <f>54+1</f>
        <v>55</v>
      </c>
      <c r="G366" s="42">
        <v>55</v>
      </c>
    </row>
    <row r="367" spans="1:7" ht="33">
      <c r="A367" s="12" t="s">
        <v>16</v>
      </c>
      <c r="B367" s="12" t="s">
        <v>74</v>
      </c>
      <c r="C367" s="9" t="s">
        <v>334</v>
      </c>
      <c r="D367" s="9"/>
      <c r="E367" s="41" t="s">
        <v>154</v>
      </c>
      <c r="F367" s="42">
        <f>F368</f>
        <v>13</v>
      </c>
      <c r="G367" s="42">
        <f>G368</f>
        <v>12.8</v>
      </c>
    </row>
    <row r="368" spans="1:7" ht="33">
      <c r="A368" s="12" t="s">
        <v>16</v>
      </c>
      <c r="B368" s="12" t="s">
        <v>74</v>
      </c>
      <c r="C368" s="9" t="s">
        <v>334</v>
      </c>
      <c r="D368" s="44" t="s">
        <v>108</v>
      </c>
      <c r="E368" s="10" t="s">
        <v>454</v>
      </c>
      <c r="F368" s="42">
        <v>13</v>
      </c>
      <c r="G368" s="16">
        <v>12.8</v>
      </c>
    </row>
    <row r="369" spans="1:7" ht="12.75">
      <c r="A369" s="12" t="s">
        <v>16</v>
      </c>
      <c r="B369" s="12" t="s">
        <v>74</v>
      </c>
      <c r="C369" s="9" t="s">
        <v>367</v>
      </c>
      <c r="D369" s="9"/>
      <c r="E369" s="41" t="s">
        <v>247</v>
      </c>
      <c r="F369" s="42">
        <f>F370</f>
        <v>20</v>
      </c>
      <c r="G369" s="42">
        <f>G370</f>
        <v>20</v>
      </c>
    </row>
    <row r="370" spans="1:7" ht="33">
      <c r="A370" s="12" t="s">
        <v>16</v>
      </c>
      <c r="B370" s="12" t="s">
        <v>74</v>
      </c>
      <c r="C370" s="9" t="s">
        <v>367</v>
      </c>
      <c r="D370" s="44" t="s">
        <v>108</v>
      </c>
      <c r="E370" s="10" t="s">
        <v>454</v>
      </c>
      <c r="F370" s="42">
        <f>21-1</f>
        <v>20</v>
      </c>
      <c r="G370" s="42">
        <v>20</v>
      </c>
    </row>
    <row r="371" spans="1:7" ht="12.75">
      <c r="A371" s="12" t="s">
        <v>16</v>
      </c>
      <c r="B371" s="12" t="s">
        <v>74</v>
      </c>
      <c r="C371" s="9" t="s">
        <v>335</v>
      </c>
      <c r="D371" s="9"/>
      <c r="E371" s="41" t="s">
        <v>155</v>
      </c>
      <c r="F371" s="42">
        <f>F372</f>
        <v>4655.900000000001</v>
      </c>
      <c r="G371" s="42">
        <f>G372</f>
        <v>4655.9</v>
      </c>
    </row>
    <row r="372" spans="1:7" ht="33">
      <c r="A372" s="12" t="s">
        <v>16</v>
      </c>
      <c r="B372" s="12" t="s">
        <v>74</v>
      </c>
      <c r="C372" s="9" t="s">
        <v>335</v>
      </c>
      <c r="D372" s="16">
        <v>600</v>
      </c>
      <c r="E372" s="10" t="s">
        <v>131</v>
      </c>
      <c r="F372" s="42">
        <f>5169.3-497.4-16</f>
        <v>4655.900000000001</v>
      </c>
      <c r="G372" s="16">
        <v>4655.9</v>
      </c>
    </row>
    <row r="373" spans="1:7" ht="33">
      <c r="A373" s="12" t="s">
        <v>16</v>
      </c>
      <c r="B373" s="12" t="s">
        <v>74</v>
      </c>
      <c r="C373" s="9" t="s">
        <v>336</v>
      </c>
      <c r="D373" s="9"/>
      <c r="E373" s="41" t="s">
        <v>156</v>
      </c>
      <c r="F373" s="42">
        <f>F374</f>
        <v>164.6</v>
      </c>
      <c r="G373" s="42">
        <f>G374</f>
        <v>164.6</v>
      </c>
    </row>
    <row r="374" spans="1:7" ht="33">
      <c r="A374" s="12" t="s">
        <v>16</v>
      </c>
      <c r="B374" s="12" t="s">
        <v>74</v>
      </c>
      <c r="C374" s="9" t="s">
        <v>336</v>
      </c>
      <c r="D374" s="16">
        <v>600</v>
      </c>
      <c r="E374" s="10" t="s">
        <v>131</v>
      </c>
      <c r="F374" s="42">
        <v>164.6</v>
      </c>
      <c r="G374" s="16">
        <v>164.6</v>
      </c>
    </row>
    <row r="375" spans="1:7" ht="12.75">
      <c r="A375" s="12" t="s">
        <v>16</v>
      </c>
      <c r="B375" s="12" t="s">
        <v>74</v>
      </c>
      <c r="C375" s="9" t="s">
        <v>337</v>
      </c>
      <c r="D375" s="9"/>
      <c r="E375" s="41" t="s">
        <v>157</v>
      </c>
      <c r="F375" s="42">
        <f>F376</f>
        <v>46</v>
      </c>
      <c r="G375" s="42">
        <f>G376</f>
        <v>46</v>
      </c>
    </row>
    <row r="376" spans="1:7" ht="33">
      <c r="A376" s="12" t="s">
        <v>16</v>
      </c>
      <c r="B376" s="12" t="s">
        <v>74</v>
      </c>
      <c r="C376" s="9" t="s">
        <v>337</v>
      </c>
      <c r="D376" s="16">
        <v>600</v>
      </c>
      <c r="E376" s="10" t="s">
        <v>131</v>
      </c>
      <c r="F376" s="42">
        <v>46</v>
      </c>
      <c r="G376" s="42">
        <v>46</v>
      </c>
    </row>
    <row r="377" spans="1:7" ht="33">
      <c r="A377" s="12" t="s">
        <v>16</v>
      </c>
      <c r="B377" s="12" t="s">
        <v>74</v>
      </c>
      <c r="C377" s="9" t="s">
        <v>469</v>
      </c>
      <c r="D377" s="9"/>
      <c r="E377" s="41" t="s">
        <v>470</v>
      </c>
      <c r="F377" s="42">
        <f>F378</f>
        <v>152.8</v>
      </c>
      <c r="G377" s="42">
        <f>G378</f>
        <v>152.8</v>
      </c>
    </row>
    <row r="378" spans="1:7" ht="33">
      <c r="A378" s="12" t="s">
        <v>16</v>
      </c>
      <c r="B378" s="12" t="s">
        <v>74</v>
      </c>
      <c r="C378" s="9" t="s">
        <v>469</v>
      </c>
      <c r="D378" s="16">
        <v>600</v>
      </c>
      <c r="E378" s="10" t="s">
        <v>131</v>
      </c>
      <c r="F378" s="42">
        <f>136.8+16</f>
        <v>152.8</v>
      </c>
      <c r="G378" s="42">
        <v>152.8</v>
      </c>
    </row>
    <row r="379" spans="1:7" ht="33">
      <c r="A379" s="12" t="s">
        <v>16</v>
      </c>
      <c r="B379" s="12" t="s">
        <v>74</v>
      </c>
      <c r="C379" s="12" t="s">
        <v>382</v>
      </c>
      <c r="D379" s="16"/>
      <c r="E379" s="10" t="s">
        <v>383</v>
      </c>
      <c r="F379" s="42">
        <f>F380</f>
        <v>63</v>
      </c>
      <c r="G379" s="42">
        <f>G380</f>
        <v>63</v>
      </c>
    </row>
    <row r="380" spans="1:7" ht="49.5">
      <c r="A380" s="12" t="s">
        <v>16</v>
      </c>
      <c r="B380" s="12" t="s">
        <v>74</v>
      </c>
      <c r="C380" s="9" t="s">
        <v>381</v>
      </c>
      <c r="D380" s="9"/>
      <c r="E380" s="41" t="s">
        <v>158</v>
      </c>
      <c r="F380" s="42">
        <f>F381</f>
        <v>63</v>
      </c>
      <c r="G380" s="42">
        <f>G381</f>
        <v>63</v>
      </c>
    </row>
    <row r="381" spans="1:7" ht="33">
      <c r="A381" s="12" t="s">
        <v>16</v>
      </c>
      <c r="B381" s="12" t="s">
        <v>74</v>
      </c>
      <c r="C381" s="9" t="s">
        <v>381</v>
      </c>
      <c r="D381" s="16">
        <v>600</v>
      </c>
      <c r="E381" s="10" t="s">
        <v>131</v>
      </c>
      <c r="F381" s="42">
        <v>63</v>
      </c>
      <c r="G381" s="42">
        <v>63</v>
      </c>
    </row>
    <row r="382" spans="1:7" ht="12.75">
      <c r="A382" s="12" t="s">
        <v>16</v>
      </c>
      <c r="B382" s="12" t="s">
        <v>75</v>
      </c>
      <c r="C382" s="12"/>
      <c r="D382" s="16"/>
      <c r="E382" s="41" t="s">
        <v>67</v>
      </c>
      <c r="F382" s="42">
        <f aca="true" t="shared" si="32" ref="F382:G387">F383</f>
        <v>3491.2</v>
      </c>
      <c r="G382" s="42">
        <f t="shared" si="32"/>
        <v>3491.2</v>
      </c>
    </row>
    <row r="383" spans="1:7" ht="12.75">
      <c r="A383" s="12" t="s">
        <v>16</v>
      </c>
      <c r="B383" s="12" t="s">
        <v>76</v>
      </c>
      <c r="C383" s="12"/>
      <c r="D383" s="16"/>
      <c r="E383" s="10" t="s">
        <v>70</v>
      </c>
      <c r="F383" s="42">
        <f t="shared" si="32"/>
        <v>3491.2</v>
      </c>
      <c r="G383" s="42">
        <f t="shared" si="32"/>
        <v>3491.2</v>
      </c>
    </row>
    <row r="384" spans="1:7" ht="49.5">
      <c r="A384" s="12" t="s">
        <v>16</v>
      </c>
      <c r="B384" s="12" t="s">
        <v>76</v>
      </c>
      <c r="C384" s="9" t="s">
        <v>284</v>
      </c>
      <c r="D384" s="16"/>
      <c r="E384" s="10" t="s">
        <v>173</v>
      </c>
      <c r="F384" s="42">
        <f t="shared" si="32"/>
        <v>3491.2</v>
      </c>
      <c r="G384" s="42">
        <f t="shared" si="32"/>
        <v>3491.2</v>
      </c>
    </row>
    <row r="385" spans="1:7" ht="12.75">
      <c r="A385" s="12" t="s">
        <v>16</v>
      </c>
      <c r="B385" s="12" t="s">
        <v>76</v>
      </c>
      <c r="C385" s="9" t="s">
        <v>338</v>
      </c>
      <c r="D385" s="16"/>
      <c r="E385" s="10" t="s">
        <v>201</v>
      </c>
      <c r="F385" s="42">
        <f t="shared" si="32"/>
        <v>3491.2</v>
      </c>
      <c r="G385" s="42">
        <f t="shared" si="32"/>
        <v>3491.2</v>
      </c>
    </row>
    <row r="386" spans="1:7" ht="12.75">
      <c r="A386" s="12" t="s">
        <v>16</v>
      </c>
      <c r="B386" s="12" t="s">
        <v>76</v>
      </c>
      <c r="C386" s="9" t="s">
        <v>398</v>
      </c>
      <c r="D386" s="16"/>
      <c r="E386" s="10" t="s">
        <v>450</v>
      </c>
      <c r="F386" s="42">
        <f>F387+F389+F391</f>
        <v>3491.2</v>
      </c>
      <c r="G386" s="42">
        <f>G387+G389+G391</f>
        <v>3491.2</v>
      </c>
    </row>
    <row r="387" spans="1:7" ht="33">
      <c r="A387" s="12" t="s">
        <v>16</v>
      </c>
      <c r="B387" s="12" t="s">
        <v>76</v>
      </c>
      <c r="C387" s="9" t="s">
        <v>397</v>
      </c>
      <c r="D387" s="16"/>
      <c r="E387" s="10" t="s">
        <v>202</v>
      </c>
      <c r="F387" s="42">
        <f t="shared" si="32"/>
        <v>1798.2</v>
      </c>
      <c r="G387" s="42">
        <f t="shared" si="32"/>
        <v>1798.2</v>
      </c>
    </row>
    <row r="388" spans="1:7" ht="12.75">
      <c r="A388" s="12" t="s">
        <v>16</v>
      </c>
      <c r="B388" s="12" t="s">
        <v>76</v>
      </c>
      <c r="C388" s="9" t="s">
        <v>397</v>
      </c>
      <c r="D388" s="16" t="s">
        <v>111</v>
      </c>
      <c r="E388" s="10" t="s">
        <v>112</v>
      </c>
      <c r="F388" s="42">
        <v>1798.2</v>
      </c>
      <c r="G388" s="16">
        <v>1798.2</v>
      </c>
    </row>
    <row r="389" spans="1:7" ht="33">
      <c r="A389" s="12" t="s">
        <v>16</v>
      </c>
      <c r="B389" s="12" t="s">
        <v>76</v>
      </c>
      <c r="C389" s="9" t="s">
        <v>541</v>
      </c>
      <c r="D389" s="16"/>
      <c r="E389" s="10" t="s">
        <v>540</v>
      </c>
      <c r="F389" s="42">
        <f>F390</f>
        <v>418.9</v>
      </c>
      <c r="G389" s="42">
        <f>G390</f>
        <v>418.9</v>
      </c>
    </row>
    <row r="390" spans="1:7" ht="12.75">
      <c r="A390" s="12" t="s">
        <v>16</v>
      </c>
      <c r="B390" s="12" t="s">
        <v>76</v>
      </c>
      <c r="C390" s="9" t="s">
        <v>541</v>
      </c>
      <c r="D390" s="16" t="s">
        <v>111</v>
      </c>
      <c r="E390" s="10" t="s">
        <v>112</v>
      </c>
      <c r="F390" s="42">
        <v>418.9</v>
      </c>
      <c r="G390" s="16">
        <v>418.9</v>
      </c>
    </row>
    <row r="391" spans="1:7" ht="33">
      <c r="A391" s="12" t="s">
        <v>16</v>
      </c>
      <c r="B391" s="12" t="s">
        <v>76</v>
      </c>
      <c r="C391" s="9" t="s">
        <v>543</v>
      </c>
      <c r="D391" s="16"/>
      <c r="E391" s="10" t="s">
        <v>542</v>
      </c>
      <c r="F391" s="42">
        <f>F392</f>
        <v>1274.1</v>
      </c>
      <c r="G391" s="42">
        <f>G392</f>
        <v>1274.1</v>
      </c>
    </row>
    <row r="392" spans="1:7" ht="12.75">
      <c r="A392" s="12" t="s">
        <v>16</v>
      </c>
      <c r="B392" s="12" t="s">
        <v>76</v>
      </c>
      <c r="C392" s="9" t="s">
        <v>543</v>
      </c>
      <c r="D392" s="16" t="s">
        <v>111</v>
      </c>
      <c r="E392" s="10" t="s">
        <v>112</v>
      </c>
      <c r="F392" s="42">
        <v>1274.1</v>
      </c>
      <c r="G392" s="16">
        <v>1274.1</v>
      </c>
    </row>
    <row r="393" spans="1:7" ht="12.75">
      <c r="A393" s="12" t="s">
        <v>16</v>
      </c>
      <c r="B393" s="12" t="s">
        <v>99</v>
      </c>
      <c r="C393" s="12"/>
      <c r="D393" s="16"/>
      <c r="E393" s="10" t="s">
        <v>66</v>
      </c>
      <c r="F393" s="42">
        <f>F394+F406</f>
        <v>13234.8</v>
      </c>
      <c r="G393" s="42">
        <f>G394+G406</f>
        <v>13232.8</v>
      </c>
    </row>
    <row r="394" spans="1:7" ht="12.75">
      <c r="A394" s="12" t="s">
        <v>16</v>
      </c>
      <c r="B394" s="12" t="s">
        <v>162</v>
      </c>
      <c r="C394" s="12"/>
      <c r="D394" s="16"/>
      <c r="E394" s="66" t="s">
        <v>100</v>
      </c>
      <c r="F394" s="42">
        <f aca="true" t="shared" si="33" ref="F394:G395">F395</f>
        <v>10915.1</v>
      </c>
      <c r="G394" s="42">
        <f t="shared" si="33"/>
        <v>10915.1</v>
      </c>
    </row>
    <row r="395" spans="1:7" ht="49.5">
      <c r="A395" s="12" t="s">
        <v>16</v>
      </c>
      <c r="B395" s="12" t="s">
        <v>162</v>
      </c>
      <c r="C395" s="12" t="s">
        <v>326</v>
      </c>
      <c r="D395" s="16"/>
      <c r="E395" s="10" t="s">
        <v>159</v>
      </c>
      <c r="F395" s="42">
        <f t="shared" si="33"/>
        <v>10915.1</v>
      </c>
      <c r="G395" s="42">
        <f t="shared" si="33"/>
        <v>10915.1</v>
      </c>
    </row>
    <row r="396" spans="1:7" ht="33">
      <c r="A396" s="12" t="s">
        <v>16</v>
      </c>
      <c r="B396" s="12" t="s">
        <v>162</v>
      </c>
      <c r="C396" s="12" t="s">
        <v>327</v>
      </c>
      <c r="D396" s="16"/>
      <c r="E396" s="10" t="s">
        <v>160</v>
      </c>
      <c r="F396" s="42">
        <f>F397</f>
        <v>10915.1</v>
      </c>
      <c r="G396" s="42">
        <f>G397</f>
        <v>10915.1</v>
      </c>
    </row>
    <row r="397" spans="1:7" ht="49.5">
      <c r="A397" s="12" t="s">
        <v>16</v>
      </c>
      <c r="B397" s="12" t="s">
        <v>162</v>
      </c>
      <c r="C397" s="12" t="s">
        <v>392</v>
      </c>
      <c r="D397" s="16"/>
      <c r="E397" s="10" t="s">
        <v>395</v>
      </c>
      <c r="F397" s="42">
        <f>F398+F402+F404</f>
        <v>10915.1</v>
      </c>
      <c r="G397" s="42">
        <f>G398+G402+G404</f>
        <v>10915.1</v>
      </c>
    </row>
    <row r="398" spans="1:7" ht="33">
      <c r="A398" s="12" t="s">
        <v>16</v>
      </c>
      <c r="B398" s="12" t="s">
        <v>162</v>
      </c>
      <c r="C398" s="12" t="s">
        <v>339</v>
      </c>
      <c r="D398" s="16"/>
      <c r="E398" s="10" t="s">
        <v>163</v>
      </c>
      <c r="F398" s="42">
        <f>F400+F399+F401</f>
        <v>1185.5</v>
      </c>
      <c r="G398" s="42">
        <f>G400+G399+G401</f>
        <v>1185.5</v>
      </c>
    </row>
    <row r="399" spans="1:7" ht="66">
      <c r="A399" s="12" t="s">
        <v>16</v>
      </c>
      <c r="B399" s="12" t="s">
        <v>162</v>
      </c>
      <c r="C399" s="12" t="s">
        <v>339</v>
      </c>
      <c r="D399" s="44" t="s">
        <v>107</v>
      </c>
      <c r="E399" s="10" t="s">
        <v>6</v>
      </c>
      <c r="F399" s="42">
        <f>300+97.2</f>
        <v>397.2</v>
      </c>
      <c r="G399" s="16">
        <v>397.2</v>
      </c>
    </row>
    <row r="400" spans="1:7" ht="33">
      <c r="A400" s="12" t="s">
        <v>16</v>
      </c>
      <c r="B400" s="12" t="s">
        <v>162</v>
      </c>
      <c r="C400" s="12" t="s">
        <v>339</v>
      </c>
      <c r="D400" s="44" t="s">
        <v>108</v>
      </c>
      <c r="E400" s="10" t="s">
        <v>454</v>
      </c>
      <c r="F400" s="42">
        <f>334.5+331.2+126.4-109.9-8</f>
        <v>674.2</v>
      </c>
      <c r="G400" s="16">
        <v>674.2</v>
      </c>
    </row>
    <row r="401" spans="1:7" ht="12.75">
      <c r="A401" s="12" t="s">
        <v>16</v>
      </c>
      <c r="B401" s="12" t="s">
        <v>162</v>
      </c>
      <c r="C401" s="12" t="s">
        <v>339</v>
      </c>
      <c r="D401" s="44" t="s">
        <v>109</v>
      </c>
      <c r="E401" s="10" t="s">
        <v>110</v>
      </c>
      <c r="F401" s="42">
        <f>60+12.7+23.9+8+9.5</f>
        <v>114.1</v>
      </c>
      <c r="G401" s="16">
        <v>114.1</v>
      </c>
    </row>
    <row r="402" spans="1:7" ht="49.5">
      <c r="A402" s="12" t="s">
        <v>16</v>
      </c>
      <c r="B402" s="12" t="s">
        <v>162</v>
      </c>
      <c r="C402" s="12" t="s">
        <v>340</v>
      </c>
      <c r="D402" s="16"/>
      <c r="E402" s="10" t="s">
        <v>164</v>
      </c>
      <c r="F402" s="42">
        <f>F403</f>
        <v>9477.7</v>
      </c>
      <c r="G402" s="42">
        <f>G403</f>
        <v>9477.7</v>
      </c>
    </row>
    <row r="403" spans="1:7" ht="33">
      <c r="A403" s="12" t="s">
        <v>16</v>
      </c>
      <c r="B403" s="12" t="s">
        <v>162</v>
      </c>
      <c r="C403" s="12" t="s">
        <v>340</v>
      </c>
      <c r="D403" s="16">
        <v>600</v>
      </c>
      <c r="E403" s="10" t="s">
        <v>131</v>
      </c>
      <c r="F403" s="42">
        <f>9467.7+10</f>
        <v>9477.7</v>
      </c>
      <c r="G403" s="16">
        <v>9477.7</v>
      </c>
    </row>
    <row r="404" spans="1:7" ht="49.5">
      <c r="A404" s="12" t="s">
        <v>16</v>
      </c>
      <c r="B404" s="12" t="s">
        <v>162</v>
      </c>
      <c r="C404" s="12" t="s">
        <v>341</v>
      </c>
      <c r="D404" s="16"/>
      <c r="E404" s="10" t="s">
        <v>165</v>
      </c>
      <c r="F404" s="42">
        <f>F405</f>
        <v>251.9</v>
      </c>
      <c r="G404" s="42">
        <f>G405</f>
        <v>251.9</v>
      </c>
    </row>
    <row r="405" spans="1:7" ht="33">
      <c r="A405" s="12" t="s">
        <v>16</v>
      </c>
      <c r="B405" s="12" t="s">
        <v>162</v>
      </c>
      <c r="C405" s="12" t="s">
        <v>341</v>
      </c>
      <c r="D405" s="16">
        <v>600</v>
      </c>
      <c r="E405" s="10" t="s">
        <v>131</v>
      </c>
      <c r="F405" s="42">
        <v>251.9</v>
      </c>
      <c r="G405" s="16">
        <v>251.9</v>
      </c>
    </row>
    <row r="406" spans="1:7" ht="12.75">
      <c r="A406" s="12" t="s">
        <v>16</v>
      </c>
      <c r="B406" s="12" t="s">
        <v>166</v>
      </c>
      <c r="C406" s="12"/>
      <c r="D406" s="16"/>
      <c r="E406" s="41" t="s">
        <v>3</v>
      </c>
      <c r="F406" s="42">
        <f aca="true" t="shared" si="34" ref="F406:G407">F407</f>
        <v>2319.7</v>
      </c>
      <c r="G406" s="42">
        <f t="shared" si="34"/>
        <v>2317.7</v>
      </c>
    </row>
    <row r="407" spans="1:7" ht="49.5">
      <c r="A407" s="12" t="s">
        <v>16</v>
      </c>
      <c r="B407" s="12" t="s">
        <v>166</v>
      </c>
      <c r="C407" s="12" t="s">
        <v>326</v>
      </c>
      <c r="D407" s="16"/>
      <c r="E407" s="10" t="s">
        <v>159</v>
      </c>
      <c r="F407" s="42">
        <f t="shared" si="34"/>
        <v>2319.7</v>
      </c>
      <c r="G407" s="42">
        <f t="shared" si="34"/>
        <v>2317.7</v>
      </c>
    </row>
    <row r="408" spans="1:7" ht="12.75">
      <c r="A408" s="12" t="s">
        <v>16</v>
      </c>
      <c r="B408" s="12" t="s">
        <v>166</v>
      </c>
      <c r="C408" s="9" t="s">
        <v>342</v>
      </c>
      <c r="D408" s="9"/>
      <c r="E408" s="41" t="s">
        <v>5</v>
      </c>
      <c r="F408" s="42">
        <f>F409</f>
        <v>2319.7</v>
      </c>
      <c r="G408" s="42">
        <f>G409</f>
        <v>2317.7</v>
      </c>
    </row>
    <row r="409" spans="1:7" ht="12.75">
      <c r="A409" s="12" t="s">
        <v>16</v>
      </c>
      <c r="B409" s="12" t="s">
        <v>166</v>
      </c>
      <c r="C409" s="9" t="s">
        <v>396</v>
      </c>
      <c r="D409" s="9"/>
      <c r="E409" s="41" t="s">
        <v>451</v>
      </c>
      <c r="F409" s="42">
        <f>F410</f>
        <v>2319.7</v>
      </c>
      <c r="G409" s="42">
        <f>G410</f>
        <v>2317.7</v>
      </c>
    </row>
    <row r="410" spans="1:7" ht="66">
      <c r="A410" s="12" t="s">
        <v>16</v>
      </c>
      <c r="B410" s="12" t="s">
        <v>166</v>
      </c>
      <c r="C410" s="12" t="s">
        <v>343</v>
      </c>
      <c r="D410" s="16"/>
      <c r="E410" s="10" t="s">
        <v>113</v>
      </c>
      <c r="F410" s="42">
        <f>F411+F412+F413</f>
        <v>2319.7</v>
      </c>
      <c r="G410" s="42">
        <f>G411+G412+G413</f>
        <v>2317.7</v>
      </c>
    </row>
    <row r="411" spans="1:7" ht="66">
      <c r="A411" s="12" t="s">
        <v>16</v>
      </c>
      <c r="B411" s="12" t="s">
        <v>166</v>
      </c>
      <c r="C411" s="12" t="s">
        <v>343</v>
      </c>
      <c r="D411" s="44" t="s">
        <v>107</v>
      </c>
      <c r="E411" s="10" t="s">
        <v>6</v>
      </c>
      <c r="F411" s="42">
        <f>2025.7+31.3</f>
        <v>2057</v>
      </c>
      <c r="G411" s="42">
        <v>2056.1</v>
      </c>
    </row>
    <row r="412" spans="1:7" ht="33">
      <c r="A412" s="12" t="s">
        <v>16</v>
      </c>
      <c r="B412" s="32" t="s">
        <v>166</v>
      </c>
      <c r="C412" s="12" t="s">
        <v>343</v>
      </c>
      <c r="D412" s="44" t="s">
        <v>108</v>
      </c>
      <c r="E412" s="10" t="s">
        <v>454</v>
      </c>
      <c r="F412" s="42">
        <f>218.6-31.9+43.8</f>
        <v>230.5</v>
      </c>
      <c r="G412" s="42">
        <v>229.5</v>
      </c>
    </row>
    <row r="413" spans="1:7" ht="33">
      <c r="A413" s="12" t="s">
        <v>16</v>
      </c>
      <c r="B413" s="32" t="s">
        <v>166</v>
      </c>
      <c r="C413" s="12" t="s">
        <v>343</v>
      </c>
      <c r="D413" s="44" t="s">
        <v>109</v>
      </c>
      <c r="E413" s="10" t="s">
        <v>110</v>
      </c>
      <c r="F413" s="42">
        <f>0.3+31.9</f>
        <v>32.199999999999996</v>
      </c>
      <c r="G413" s="42">
        <v>32.1</v>
      </c>
    </row>
    <row r="414" spans="1:7" ht="33">
      <c r="A414" s="33" t="s">
        <v>24</v>
      </c>
      <c r="B414" s="12"/>
      <c r="C414" s="33"/>
      <c r="D414" s="33"/>
      <c r="E414" s="34" t="s">
        <v>25</v>
      </c>
      <c r="F414" s="52">
        <f>F415+F494</f>
        <v>418561.2</v>
      </c>
      <c r="G414" s="52">
        <f>G415+G494</f>
        <v>418560.8</v>
      </c>
    </row>
    <row r="415" spans="1:7" ht="12.75">
      <c r="A415" s="12" t="s">
        <v>24</v>
      </c>
      <c r="B415" s="12" t="s">
        <v>73</v>
      </c>
      <c r="C415" s="12"/>
      <c r="D415" s="16"/>
      <c r="E415" s="10" t="s">
        <v>65</v>
      </c>
      <c r="F415" s="42">
        <f>F416+F432+F479+F468</f>
        <v>411073.4</v>
      </c>
      <c r="G415" s="42">
        <f>G416+G432+G479+G468</f>
        <v>411073</v>
      </c>
    </row>
    <row r="416" spans="1:7" ht="12.75">
      <c r="A416" s="12" t="s">
        <v>24</v>
      </c>
      <c r="B416" s="12" t="s">
        <v>88</v>
      </c>
      <c r="C416" s="12"/>
      <c r="D416" s="16"/>
      <c r="E416" s="10" t="s">
        <v>26</v>
      </c>
      <c r="F416" s="42">
        <f aca="true" t="shared" si="35" ref="F416:G417">F417</f>
        <v>159655.4</v>
      </c>
      <c r="G416" s="42">
        <f t="shared" si="35"/>
        <v>159655.4</v>
      </c>
    </row>
    <row r="417" spans="1:7" ht="33">
      <c r="A417" s="12" t="s">
        <v>24</v>
      </c>
      <c r="B417" s="12" t="s">
        <v>88</v>
      </c>
      <c r="C417" s="12" t="s">
        <v>330</v>
      </c>
      <c r="D417" s="16"/>
      <c r="E417" s="10" t="s">
        <v>127</v>
      </c>
      <c r="F417" s="42">
        <f t="shared" si="35"/>
        <v>159655.4</v>
      </c>
      <c r="G417" s="42">
        <f t="shared" si="35"/>
        <v>159655.4</v>
      </c>
    </row>
    <row r="418" spans="1:7" ht="33">
      <c r="A418" s="12" t="s">
        <v>24</v>
      </c>
      <c r="B418" s="12" t="s">
        <v>88</v>
      </c>
      <c r="C418" s="12" t="s">
        <v>331</v>
      </c>
      <c r="D418" s="16"/>
      <c r="E418" s="10" t="s">
        <v>128</v>
      </c>
      <c r="F418" s="42">
        <f>F419</f>
        <v>159655.4</v>
      </c>
      <c r="G418" s="42">
        <f>G419</f>
        <v>159655.4</v>
      </c>
    </row>
    <row r="419" spans="1:7" ht="33">
      <c r="A419" s="12" t="s">
        <v>24</v>
      </c>
      <c r="B419" s="12" t="s">
        <v>88</v>
      </c>
      <c r="C419" s="12" t="s">
        <v>373</v>
      </c>
      <c r="D419" s="16"/>
      <c r="E419" s="10" t="s">
        <v>375</v>
      </c>
      <c r="F419" s="42">
        <f>F422+F424+F426+F428+F420+F430</f>
        <v>159655.4</v>
      </c>
      <c r="G419" s="42">
        <f>G422+G424+G426+G428+G420+G430</f>
        <v>159655.4</v>
      </c>
    </row>
    <row r="420" spans="1:7" ht="49.5">
      <c r="A420" s="12" t="s">
        <v>24</v>
      </c>
      <c r="B420" s="12" t="s">
        <v>88</v>
      </c>
      <c r="C420" s="9" t="s">
        <v>348</v>
      </c>
      <c r="D420" s="9"/>
      <c r="E420" s="10" t="s">
        <v>130</v>
      </c>
      <c r="F420" s="42">
        <f>F421</f>
        <v>86181.9</v>
      </c>
      <c r="G420" s="42">
        <f>G421</f>
        <v>86181.9</v>
      </c>
    </row>
    <row r="421" spans="1:7" ht="33">
      <c r="A421" s="12" t="s">
        <v>24</v>
      </c>
      <c r="B421" s="12" t="s">
        <v>88</v>
      </c>
      <c r="C421" s="9" t="s">
        <v>348</v>
      </c>
      <c r="D421" s="16">
        <v>600</v>
      </c>
      <c r="E421" s="10" t="s">
        <v>131</v>
      </c>
      <c r="F421" s="42">
        <f>85858+323.9</f>
        <v>86181.9</v>
      </c>
      <c r="G421" s="16">
        <v>86181.9</v>
      </c>
    </row>
    <row r="422" spans="1:7" ht="49.5">
      <c r="A422" s="12" t="s">
        <v>24</v>
      </c>
      <c r="B422" s="12" t="s">
        <v>88</v>
      </c>
      <c r="C422" s="9" t="s">
        <v>344</v>
      </c>
      <c r="D422" s="9"/>
      <c r="E422" s="41" t="s">
        <v>129</v>
      </c>
      <c r="F422" s="42">
        <f>F423</f>
        <v>63035.4</v>
      </c>
      <c r="G422" s="42">
        <f>G423</f>
        <v>63035.4</v>
      </c>
    </row>
    <row r="423" spans="1:7" ht="33">
      <c r="A423" s="12" t="s">
        <v>24</v>
      </c>
      <c r="B423" s="12" t="s">
        <v>88</v>
      </c>
      <c r="C423" s="9" t="s">
        <v>344</v>
      </c>
      <c r="D423" s="16">
        <v>600</v>
      </c>
      <c r="E423" s="10" t="s">
        <v>131</v>
      </c>
      <c r="F423" s="42">
        <f>61901.7+100+725.9+307.8</f>
        <v>63035.4</v>
      </c>
      <c r="G423" s="16">
        <v>63035.4</v>
      </c>
    </row>
    <row r="424" spans="1:7" ht="33">
      <c r="A424" s="12" t="s">
        <v>24</v>
      </c>
      <c r="B424" s="12" t="s">
        <v>88</v>
      </c>
      <c r="C424" s="9" t="s">
        <v>345</v>
      </c>
      <c r="D424" s="9"/>
      <c r="E424" s="41" t="s">
        <v>132</v>
      </c>
      <c r="F424" s="42">
        <f>F425</f>
        <v>7265.300000000001</v>
      </c>
      <c r="G424" s="42">
        <f>G425</f>
        <v>7265.3</v>
      </c>
    </row>
    <row r="425" spans="1:7" ht="33">
      <c r="A425" s="12" t="s">
        <v>24</v>
      </c>
      <c r="B425" s="12" t="s">
        <v>88</v>
      </c>
      <c r="C425" s="9" t="s">
        <v>345</v>
      </c>
      <c r="D425" s="16">
        <v>600</v>
      </c>
      <c r="E425" s="10" t="s">
        <v>131</v>
      </c>
      <c r="F425" s="42">
        <f>3217.5+72.9+26.9+3059.2+9+15.1+332.6+532.1</f>
        <v>7265.300000000001</v>
      </c>
      <c r="G425" s="42">
        <v>7265.3</v>
      </c>
    </row>
    <row r="426" spans="1:7" ht="33">
      <c r="A426" s="12" t="s">
        <v>24</v>
      </c>
      <c r="B426" s="12" t="s">
        <v>88</v>
      </c>
      <c r="C426" s="9" t="s">
        <v>346</v>
      </c>
      <c r="D426" s="9"/>
      <c r="E426" s="41" t="s">
        <v>133</v>
      </c>
      <c r="F426" s="42">
        <f>F427</f>
        <v>230.10000000000002</v>
      </c>
      <c r="G426" s="42">
        <f>G427</f>
        <v>230.1</v>
      </c>
    </row>
    <row r="427" spans="1:7" ht="33">
      <c r="A427" s="12" t="s">
        <v>24</v>
      </c>
      <c r="B427" s="12" t="s">
        <v>88</v>
      </c>
      <c r="C427" s="9" t="s">
        <v>346</v>
      </c>
      <c r="D427" s="16">
        <v>600</v>
      </c>
      <c r="E427" s="10" t="s">
        <v>131</v>
      </c>
      <c r="F427" s="42">
        <f>235.8-5.7</f>
        <v>230.10000000000002</v>
      </c>
      <c r="G427" s="42">
        <v>230.1</v>
      </c>
    </row>
    <row r="428" spans="1:7" ht="33">
      <c r="A428" s="12" t="s">
        <v>24</v>
      </c>
      <c r="B428" s="12" t="s">
        <v>88</v>
      </c>
      <c r="C428" s="9" t="s">
        <v>347</v>
      </c>
      <c r="D428" s="9"/>
      <c r="E428" s="41" t="s">
        <v>139</v>
      </c>
      <c r="F428" s="42">
        <f>F429</f>
        <v>1861.1000000000001</v>
      </c>
      <c r="G428" s="42">
        <f>G429</f>
        <v>1861.1</v>
      </c>
    </row>
    <row r="429" spans="1:7" ht="33">
      <c r="A429" s="12" t="s">
        <v>24</v>
      </c>
      <c r="B429" s="12" t="s">
        <v>88</v>
      </c>
      <c r="C429" s="9" t="s">
        <v>347</v>
      </c>
      <c r="D429" s="16">
        <v>600</v>
      </c>
      <c r="E429" s="10" t="s">
        <v>131</v>
      </c>
      <c r="F429" s="42">
        <f>334.8+1111.9-3.3+25.2+392.5</f>
        <v>1861.1000000000001</v>
      </c>
      <c r="G429" s="42">
        <v>1861.1</v>
      </c>
    </row>
    <row r="430" spans="1:7" ht="33">
      <c r="A430" s="12" t="s">
        <v>24</v>
      </c>
      <c r="B430" s="12" t="s">
        <v>88</v>
      </c>
      <c r="C430" s="9" t="s">
        <v>471</v>
      </c>
      <c r="D430" s="9"/>
      <c r="E430" s="10" t="s">
        <v>472</v>
      </c>
      <c r="F430" s="42">
        <f>F431</f>
        <v>1081.6</v>
      </c>
      <c r="G430" s="42">
        <f>G431</f>
        <v>1081.6</v>
      </c>
    </row>
    <row r="431" spans="1:7" ht="33">
      <c r="A431" s="12" t="s">
        <v>24</v>
      </c>
      <c r="B431" s="12" t="s">
        <v>88</v>
      </c>
      <c r="C431" s="9" t="s">
        <v>471</v>
      </c>
      <c r="D431" s="16">
        <v>600</v>
      </c>
      <c r="E431" s="10" t="s">
        <v>131</v>
      </c>
      <c r="F431" s="42">
        <f>312.5+369+132.4+267.7</f>
        <v>1081.6</v>
      </c>
      <c r="G431" s="42">
        <v>1081.6</v>
      </c>
    </row>
    <row r="432" spans="1:7" ht="12.75">
      <c r="A432" s="12" t="s">
        <v>24</v>
      </c>
      <c r="B432" s="12" t="s">
        <v>89</v>
      </c>
      <c r="C432" s="12"/>
      <c r="D432" s="16"/>
      <c r="E432" s="41" t="s">
        <v>27</v>
      </c>
      <c r="F432" s="42">
        <f>F433+F464</f>
        <v>233701.00000000003</v>
      </c>
      <c r="G432" s="42">
        <f>G433+G464</f>
        <v>233701.00000000003</v>
      </c>
    </row>
    <row r="433" spans="1:7" ht="45.6" customHeight="1">
      <c r="A433" s="12" t="s">
        <v>24</v>
      </c>
      <c r="B433" s="12" t="s">
        <v>89</v>
      </c>
      <c r="C433" s="12" t="s">
        <v>330</v>
      </c>
      <c r="D433" s="16"/>
      <c r="E433" s="10" t="s">
        <v>127</v>
      </c>
      <c r="F433" s="42">
        <f aca="true" t="shared" si="36" ref="F433:G433">F434</f>
        <v>233601.00000000003</v>
      </c>
      <c r="G433" s="42">
        <f t="shared" si="36"/>
        <v>233601.00000000003</v>
      </c>
    </row>
    <row r="434" spans="1:7" ht="33">
      <c r="A434" s="12" t="s">
        <v>24</v>
      </c>
      <c r="B434" s="12" t="s">
        <v>89</v>
      </c>
      <c r="C434" s="12" t="s">
        <v>331</v>
      </c>
      <c r="D434" s="16"/>
      <c r="E434" s="10" t="s">
        <v>128</v>
      </c>
      <c r="F434" s="42">
        <f>F438+F457+F435</f>
        <v>233601.00000000003</v>
      </c>
      <c r="G434" s="42">
        <f>G438+G457+G435</f>
        <v>233601.00000000003</v>
      </c>
    </row>
    <row r="435" spans="1:7" ht="33">
      <c r="A435" s="12" t="s">
        <v>24</v>
      </c>
      <c r="B435" s="12" t="s">
        <v>89</v>
      </c>
      <c r="C435" s="12" t="s">
        <v>373</v>
      </c>
      <c r="D435" s="16"/>
      <c r="E435" s="10" t="s">
        <v>375</v>
      </c>
      <c r="F435" s="42">
        <f>F436</f>
        <v>41.2</v>
      </c>
      <c r="G435" s="42">
        <f>G436</f>
        <v>41.2</v>
      </c>
    </row>
    <row r="436" spans="1:7" ht="33">
      <c r="A436" s="12" t="s">
        <v>24</v>
      </c>
      <c r="B436" s="12" t="s">
        <v>89</v>
      </c>
      <c r="C436" s="9" t="s">
        <v>471</v>
      </c>
      <c r="D436" s="9"/>
      <c r="E436" s="10" t="s">
        <v>472</v>
      </c>
      <c r="F436" s="42">
        <f>F437</f>
        <v>41.2</v>
      </c>
      <c r="G436" s="42">
        <f>G437</f>
        <v>41.2</v>
      </c>
    </row>
    <row r="437" spans="1:7" ht="33">
      <c r="A437" s="12" t="s">
        <v>24</v>
      </c>
      <c r="B437" s="12" t="s">
        <v>89</v>
      </c>
      <c r="C437" s="9" t="s">
        <v>471</v>
      </c>
      <c r="D437" s="16">
        <v>600</v>
      </c>
      <c r="E437" s="10" t="s">
        <v>131</v>
      </c>
      <c r="F437" s="42">
        <v>41.2</v>
      </c>
      <c r="G437" s="42">
        <v>41.2</v>
      </c>
    </row>
    <row r="438" spans="1:7" ht="33">
      <c r="A438" s="12" t="s">
        <v>24</v>
      </c>
      <c r="B438" s="12" t="s">
        <v>89</v>
      </c>
      <c r="C438" s="12" t="s">
        <v>374</v>
      </c>
      <c r="D438" s="16"/>
      <c r="E438" s="10" t="s">
        <v>376</v>
      </c>
      <c r="F438" s="42">
        <f>F441+F445+F447+F449+F453+F455+F451+F443+F439</f>
        <v>222019.6</v>
      </c>
      <c r="G438" s="42">
        <f>G441+G445+G447+G449+G453+G455+G451+G443+G439</f>
        <v>222019.6</v>
      </c>
    </row>
    <row r="439" spans="1:7" ht="49.5">
      <c r="A439" s="12" t="s">
        <v>24</v>
      </c>
      <c r="B439" s="12" t="s">
        <v>89</v>
      </c>
      <c r="C439" s="9" t="s">
        <v>495</v>
      </c>
      <c r="D439" s="9"/>
      <c r="E439" s="30" t="s">
        <v>496</v>
      </c>
      <c r="F439" s="42">
        <f>F440</f>
        <v>4227</v>
      </c>
      <c r="G439" s="42">
        <f>G440</f>
        <v>4227</v>
      </c>
    </row>
    <row r="440" spans="1:7" ht="33">
      <c r="A440" s="12" t="s">
        <v>24</v>
      </c>
      <c r="B440" s="12" t="s">
        <v>89</v>
      </c>
      <c r="C440" s="9" t="s">
        <v>493</v>
      </c>
      <c r="D440" s="16">
        <v>600</v>
      </c>
      <c r="E440" s="41" t="s">
        <v>131</v>
      </c>
      <c r="F440" s="42">
        <f>2238+1989</f>
        <v>4227</v>
      </c>
      <c r="G440" s="42">
        <v>4227</v>
      </c>
    </row>
    <row r="441" spans="1:7" ht="99">
      <c r="A441" s="12" t="s">
        <v>24</v>
      </c>
      <c r="B441" s="12" t="s">
        <v>89</v>
      </c>
      <c r="C441" s="9" t="s">
        <v>355</v>
      </c>
      <c r="D441" s="9"/>
      <c r="E441" s="41" t="s">
        <v>147</v>
      </c>
      <c r="F441" s="42">
        <f>F442</f>
        <v>169112.6</v>
      </c>
      <c r="G441" s="42">
        <f>G442</f>
        <v>169112.6</v>
      </c>
    </row>
    <row r="442" spans="1:7" ht="33">
      <c r="A442" s="12" t="s">
        <v>24</v>
      </c>
      <c r="B442" s="12" t="s">
        <v>89</v>
      </c>
      <c r="C442" s="9" t="s">
        <v>355</v>
      </c>
      <c r="D442" s="16">
        <v>600</v>
      </c>
      <c r="E442" s="41" t="s">
        <v>131</v>
      </c>
      <c r="F442" s="42">
        <f>168909+203.6</f>
        <v>169112.6</v>
      </c>
      <c r="G442" s="42">
        <v>169112.6</v>
      </c>
    </row>
    <row r="443" spans="1:7" ht="49.5">
      <c r="A443" s="12" t="s">
        <v>24</v>
      </c>
      <c r="B443" s="12" t="s">
        <v>89</v>
      </c>
      <c r="C443" s="9" t="s">
        <v>480</v>
      </c>
      <c r="D443" s="9"/>
      <c r="E443" s="41" t="s">
        <v>481</v>
      </c>
      <c r="F443" s="42">
        <f>F444</f>
        <v>5594.4</v>
      </c>
      <c r="G443" s="42">
        <f>G444</f>
        <v>5594.4</v>
      </c>
    </row>
    <row r="444" spans="1:7" ht="33">
      <c r="A444" s="12" t="s">
        <v>24</v>
      </c>
      <c r="B444" s="12" t="s">
        <v>89</v>
      </c>
      <c r="C444" s="9" t="s">
        <v>480</v>
      </c>
      <c r="D444" s="16">
        <v>600</v>
      </c>
      <c r="E444" s="41" t="s">
        <v>131</v>
      </c>
      <c r="F444" s="42">
        <v>5594.4</v>
      </c>
      <c r="G444" s="16">
        <v>5594.4</v>
      </c>
    </row>
    <row r="445" spans="1:7" ht="49.5">
      <c r="A445" s="12" t="s">
        <v>24</v>
      </c>
      <c r="B445" s="12" t="s">
        <v>89</v>
      </c>
      <c r="C445" s="9" t="s">
        <v>349</v>
      </c>
      <c r="D445" s="9"/>
      <c r="E445" s="41" t="s">
        <v>134</v>
      </c>
      <c r="F445" s="42">
        <f>F446</f>
        <v>32756.200000000004</v>
      </c>
      <c r="G445" s="42">
        <f>G446</f>
        <v>32756.2</v>
      </c>
    </row>
    <row r="446" spans="1:7" ht="33">
      <c r="A446" s="12" t="s">
        <v>24</v>
      </c>
      <c r="B446" s="12" t="s">
        <v>89</v>
      </c>
      <c r="C446" s="9" t="s">
        <v>349</v>
      </c>
      <c r="D446" s="16">
        <v>600</v>
      </c>
      <c r="E446" s="10" t="s">
        <v>131</v>
      </c>
      <c r="F446" s="42">
        <f>33261.3+90-132.6-66-396.5</f>
        <v>32756.200000000004</v>
      </c>
      <c r="G446" s="16">
        <v>32756.2</v>
      </c>
    </row>
    <row r="447" spans="1:7" ht="33">
      <c r="A447" s="12" t="s">
        <v>24</v>
      </c>
      <c r="B447" s="12" t="s">
        <v>89</v>
      </c>
      <c r="C447" s="9" t="s">
        <v>352</v>
      </c>
      <c r="D447" s="9"/>
      <c r="E447" s="41" t="s">
        <v>137</v>
      </c>
      <c r="F447" s="42">
        <f>F448</f>
        <v>3295.8999999999996</v>
      </c>
      <c r="G447" s="42">
        <f>G448</f>
        <v>3295.9</v>
      </c>
    </row>
    <row r="448" spans="1:7" ht="33">
      <c r="A448" s="12" t="s">
        <v>24</v>
      </c>
      <c r="B448" s="12" t="s">
        <v>89</v>
      </c>
      <c r="C448" s="9" t="s">
        <v>352</v>
      </c>
      <c r="D448" s="16">
        <v>600</v>
      </c>
      <c r="E448" s="10" t="s">
        <v>131</v>
      </c>
      <c r="F448" s="42">
        <f>1777.2+500+55.4+158.2+24.8+72.6+517.7+190</f>
        <v>3295.8999999999996</v>
      </c>
      <c r="G448" s="16">
        <v>3295.9</v>
      </c>
    </row>
    <row r="449" spans="1:7" ht="33">
      <c r="A449" s="12" t="s">
        <v>24</v>
      </c>
      <c r="B449" s="12" t="s">
        <v>89</v>
      </c>
      <c r="C449" s="9" t="s">
        <v>353</v>
      </c>
      <c r="D449" s="9"/>
      <c r="E449" s="41" t="s">
        <v>138</v>
      </c>
      <c r="F449" s="42">
        <f>F450</f>
        <v>464.5</v>
      </c>
      <c r="G449" s="42">
        <f>G450</f>
        <v>464.5</v>
      </c>
    </row>
    <row r="450" spans="1:7" ht="33">
      <c r="A450" s="12" t="s">
        <v>24</v>
      </c>
      <c r="B450" s="12" t="s">
        <v>89</v>
      </c>
      <c r="C450" s="9" t="s">
        <v>353</v>
      </c>
      <c r="D450" s="16">
        <v>600</v>
      </c>
      <c r="E450" s="10" t="s">
        <v>131</v>
      </c>
      <c r="F450" s="42">
        <v>464.5</v>
      </c>
      <c r="G450" s="16">
        <v>464.5</v>
      </c>
    </row>
    <row r="451" spans="1:7" ht="33">
      <c r="A451" s="12" t="s">
        <v>24</v>
      </c>
      <c r="B451" s="12" t="s">
        <v>89</v>
      </c>
      <c r="C451" s="9" t="s">
        <v>473</v>
      </c>
      <c r="D451" s="16"/>
      <c r="E451" s="41" t="s">
        <v>140</v>
      </c>
      <c r="F451" s="42">
        <f>F452</f>
        <v>668.9</v>
      </c>
      <c r="G451" s="42">
        <f>G452</f>
        <v>668.9</v>
      </c>
    </row>
    <row r="452" spans="1:7" ht="33">
      <c r="A452" s="12" t="s">
        <v>24</v>
      </c>
      <c r="B452" s="12" t="s">
        <v>89</v>
      </c>
      <c r="C452" s="9" t="s">
        <v>473</v>
      </c>
      <c r="D452" s="16">
        <v>600</v>
      </c>
      <c r="E452" s="10" t="s">
        <v>131</v>
      </c>
      <c r="F452" s="42">
        <f>501.1+101.3+66.5</f>
        <v>668.9</v>
      </c>
      <c r="G452" s="16">
        <v>668.9</v>
      </c>
    </row>
    <row r="453" spans="1:7" ht="33">
      <c r="A453" s="12" t="s">
        <v>24</v>
      </c>
      <c r="B453" s="12" t="s">
        <v>89</v>
      </c>
      <c r="C453" s="9" t="s">
        <v>354</v>
      </c>
      <c r="D453" s="9"/>
      <c r="E453" s="30" t="s">
        <v>141</v>
      </c>
      <c r="F453" s="42">
        <f>F454</f>
        <v>4884.900000000001</v>
      </c>
      <c r="G453" s="42">
        <f>G454</f>
        <v>4884.9</v>
      </c>
    </row>
    <row r="454" spans="1:7" ht="33">
      <c r="A454" s="12" t="s">
        <v>24</v>
      </c>
      <c r="B454" s="12" t="s">
        <v>89</v>
      </c>
      <c r="C454" s="9" t="s">
        <v>354</v>
      </c>
      <c r="D454" s="16">
        <v>600</v>
      </c>
      <c r="E454" s="41" t="s">
        <v>131</v>
      </c>
      <c r="F454" s="42">
        <f>4959.8-74.9</f>
        <v>4884.900000000001</v>
      </c>
      <c r="G454" s="16">
        <v>4884.9</v>
      </c>
    </row>
    <row r="455" spans="1:7" ht="33">
      <c r="A455" s="12" t="s">
        <v>24</v>
      </c>
      <c r="B455" s="12" t="s">
        <v>89</v>
      </c>
      <c r="C455" s="9" t="s">
        <v>365</v>
      </c>
      <c r="D455" s="9"/>
      <c r="E455" s="41" t="s">
        <v>140</v>
      </c>
      <c r="F455" s="42">
        <f>F456</f>
        <v>1015.2000000000003</v>
      </c>
      <c r="G455" s="42">
        <f>G456</f>
        <v>1015.2</v>
      </c>
    </row>
    <row r="456" spans="1:7" ht="33">
      <c r="A456" s="12" t="s">
        <v>24</v>
      </c>
      <c r="B456" s="12" t="s">
        <v>89</v>
      </c>
      <c r="C456" s="9" t="s">
        <v>365</v>
      </c>
      <c r="D456" s="16">
        <v>600</v>
      </c>
      <c r="E456" s="41" t="s">
        <v>131</v>
      </c>
      <c r="F456" s="42">
        <f>6026.8-3001.9-24.8-157.6-390.2-1437.1</f>
        <v>1015.2000000000003</v>
      </c>
      <c r="G456" s="16">
        <v>1015.2</v>
      </c>
    </row>
    <row r="457" spans="1:7" ht="33">
      <c r="A457" s="12" t="s">
        <v>24</v>
      </c>
      <c r="B457" s="12" t="s">
        <v>89</v>
      </c>
      <c r="C457" s="12" t="s">
        <v>377</v>
      </c>
      <c r="D457" s="16"/>
      <c r="E457" s="10" t="s">
        <v>378</v>
      </c>
      <c r="F457" s="42">
        <f>F458+F460+F462</f>
        <v>11540.2</v>
      </c>
      <c r="G457" s="42">
        <f>G458+G460+G462</f>
        <v>11540.2</v>
      </c>
    </row>
    <row r="458" spans="1:7" ht="33">
      <c r="A458" s="12" t="s">
        <v>24</v>
      </c>
      <c r="B458" s="12" t="s">
        <v>89</v>
      </c>
      <c r="C458" s="9" t="s">
        <v>350</v>
      </c>
      <c r="D458" s="9"/>
      <c r="E458" s="41" t="s">
        <v>135</v>
      </c>
      <c r="F458" s="42">
        <f>F459</f>
        <v>3638</v>
      </c>
      <c r="G458" s="42">
        <f>G459</f>
        <v>3638</v>
      </c>
    </row>
    <row r="459" spans="1:7" ht="33">
      <c r="A459" s="12" t="s">
        <v>24</v>
      </c>
      <c r="B459" s="12" t="s">
        <v>89</v>
      </c>
      <c r="C459" s="9" t="s">
        <v>350</v>
      </c>
      <c r="D459" s="16">
        <v>600</v>
      </c>
      <c r="E459" s="10" t="s">
        <v>131</v>
      </c>
      <c r="F459" s="42">
        <f>3607.6+30.4</f>
        <v>3638</v>
      </c>
      <c r="G459" s="42">
        <v>3638</v>
      </c>
    </row>
    <row r="460" spans="1:7" ht="49.5">
      <c r="A460" s="12" t="s">
        <v>24</v>
      </c>
      <c r="B460" s="12" t="s">
        <v>89</v>
      </c>
      <c r="C460" s="9" t="s">
        <v>351</v>
      </c>
      <c r="D460" s="9"/>
      <c r="E460" s="41" t="s">
        <v>136</v>
      </c>
      <c r="F460" s="42">
        <f>F461</f>
        <v>7868.5</v>
      </c>
      <c r="G460" s="42">
        <f>G461</f>
        <v>7868.5</v>
      </c>
    </row>
    <row r="461" spans="1:7" ht="33">
      <c r="A461" s="12" t="s">
        <v>24</v>
      </c>
      <c r="B461" s="12" t="s">
        <v>89</v>
      </c>
      <c r="C461" s="9" t="s">
        <v>351</v>
      </c>
      <c r="D461" s="16">
        <v>600</v>
      </c>
      <c r="E461" s="10" t="s">
        <v>131</v>
      </c>
      <c r="F461" s="42">
        <f>7695.5+10+132.6+30.4</f>
        <v>7868.5</v>
      </c>
      <c r="G461" s="16">
        <v>7868.5</v>
      </c>
    </row>
    <row r="462" spans="1:7" ht="49.5">
      <c r="A462" s="12" t="s">
        <v>24</v>
      </c>
      <c r="B462" s="12" t="s">
        <v>89</v>
      </c>
      <c r="C462" s="9" t="s">
        <v>556</v>
      </c>
      <c r="D462" s="9"/>
      <c r="E462" s="41" t="s">
        <v>557</v>
      </c>
      <c r="F462" s="42">
        <f>F463</f>
        <v>33.7</v>
      </c>
      <c r="G462" s="42">
        <f>G463</f>
        <v>33.7</v>
      </c>
    </row>
    <row r="463" spans="1:7" ht="33">
      <c r="A463" s="12" t="s">
        <v>24</v>
      </c>
      <c r="B463" s="12" t="s">
        <v>89</v>
      </c>
      <c r="C463" s="9" t="s">
        <v>556</v>
      </c>
      <c r="D463" s="16">
        <v>600</v>
      </c>
      <c r="E463" s="10" t="s">
        <v>131</v>
      </c>
      <c r="F463" s="42">
        <v>33.7</v>
      </c>
      <c r="G463" s="16">
        <v>33.7</v>
      </c>
    </row>
    <row r="464" spans="1:7" ht="12.75">
      <c r="A464" s="12" t="s">
        <v>24</v>
      </c>
      <c r="B464" s="12" t="s">
        <v>89</v>
      </c>
      <c r="C464" s="4">
        <v>9900000000</v>
      </c>
      <c r="D464" s="45"/>
      <c r="E464" s="31" t="s">
        <v>9</v>
      </c>
      <c r="F464" s="42">
        <f aca="true" t="shared" si="37" ref="F464:G466">F465</f>
        <v>100</v>
      </c>
      <c r="G464" s="42">
        <f t="shared" si="37"/>
        <v>100</v>
      </c>
    </row>
    <row r="465" spans="1:7" ht="33">
      <c r="A465" s="12" t="s">
        <v>24</v>
      </c>
      <c r="B465" s="12" t="s">
        <v>89</v>
      </c>
      <c r="C465" s="4">
        <v>9950000000</v>
      </c>
      <c r="D465" s="44"/>
      <c r="E465" s="10" t="s">
        <v>504</v>
      </c>
      <c r="F465" s="42">
        <f t="shared" si="37"/>
        <v>100</v>
      </c>
      <c r="G465" s="42">
        <f t="shared" si="37"/>
        <v>100</v>
      </c>
    </row>
    <row r="466" spans="1:7" ht="33">
      <c r="A466" s="12" t="s">
        <v>24</v>
      </c>
      <c r="B466" s="12" t="s">
        <v>89</v>
      </c>
      <c r="C466" s="4" t="s">
        <v>505</v>
      </c>
      <c r="D466" s="44"/>
      <c r="E466" s="10" t="s">
        <v>506</v>
      </c>
      <c r="F466" s="42">
        <f t="shared" si="37"/>
        <v>100</v>
      </c>
      <c r="G466" s="42">
        <f t="shared" si="37"/>
        <v>100</v>
      </c>
    </row>
    <row r="467" spans="1:7" ht="33">
      <c r="A467" s="12" t="s">
        <v>24</v>
      </c>
      <c r="B467" s="12" t="s">
        <v>89</v>
      </c>
      <c r="C467" s="4" t="s">
        <v>505</v>
      </c>
      <c r="D467" s="16">
        <v>600</v>
      </c>
      <c r="E467" s="10" t="s">
        <v>131</v>
      </c>
      <c r="F467" s="42">
        <v>100</v>
      </c>
      <c r="G467" s="42">
        <v>100</v>
      </c>
    </row>
    <row r="468" spans="1:7" ht="12.75">
      <c r="A468" s="12" t="s">
        <v>24</v>
      </c>
      <c r="B468" s="12" t="s">
        <v>74</v>
      </c>
      <c r="C468" s="12"/>
      <c r="D468" s="16"/>
      <c r="E468" s="10" t="s">
        <v>642</v>
      </c>
      <c r="F468" s="42">
        <f aca="true" t="shared" si="38" ref="F468:G469">F469</f>
        <v>3101.4</v>
      </c>
      <c r="G468" s="42">
        <f t="shared" si="38"/>
        <v>3101.1</v>
      </c>
    </row>
    <row r="469" spans="1:7" ht="40.15" customHeight="1">
      <c r="A469" s="12" t="s">
        <v>24</v>
      </c>
      <c r="B469" s="12" t="s">
        <v>74</v>
      </c>
      <c r="C469" s="12" t="s">
        <v>330</v>
      </c>
      <c r="D469" s="16"/>
      <c r="E469" s="10" t="s">
        <v>127</v>
      </c>
      <c r="F469" s="42">
        <f t="shared" si="38"/>
        <v>3101.4</v>
      </c>
      <c r="G469" s="42">
        <f t="shared" si="38"/>
        <v>3101.1</v>
      </c>
    </row>
    <row r="470" spans="1:7" ht="33">
      <c r="A470" s="12" t="s">
        <v>24</v>
      </c>
      <c r="B470" s="12" t="s">
        <v>74</v>
      </c>
      <c r="C470" s="12" t="s">
        <v>331</v>
      </c>
      <c r="D470" s="16"/>
      <c r="E470" s="10" t="s">
        <v>128</v>
      </c>
      <c r="F470" s="42">
        <f>F471</f>
        <v>3101.4</v>
      </c>
      <c r="G470" s="42">
        <f>G471</f>
        <v>3101.1</v>
      </c>
    </row>
    <row r="471" spans="1:7" ht="33">
      <c r="A471" s="12" t="s">
        <v>24</v>
      </c>
      <c r="B471" s="12" t="s">
        <v>74</v>
      </c>
      <c r="C471" s="12" t="s">
        <v>374</v>
      </c>
      <c r="D471" s="16"/>
      <c r="E471" s="10" t="s">
        <v>376</v>
      </c>
      <c r="F471" s="42">
        <f>F472+F475+F477</f>
        <v>3101.4</v>
      </c>
      <c r="G471" s="42">
        <f>G472+G475+G477</f>
        <v>3101.1</v>
      </c>
    </row>
    <row r="472" spans="1:7" ht="33">
      <c r="A472" s="12" t="s">
        <v>24</v>
      </c>
      <c r="B472" s="12" t="s">
        <v>74</v>
      </c>
      <c r="C472" s="12" t="s">
        <v>453</v>
      </c>
      <c r="D472" s="16"/>
      <c r="E472" s="41" t="s">
        <v>238</v>
      </c>
      <c r="F472" s="42">
        <f>F473+F474</f>
        <v>240.60000000000002</v>
      </c>
      <c r="G472" s="42">
        <f>G473+G474</f>
        <v>240.60000000000002</v>
      </c>
    </row>
    <row r="473" spans="1:7" ht="12.75">
      <c r="A473" s="12" t="s">
        <v>24</v>
      </c>
      <c r="B473" s="12" t="s">
        <v>74</v>
      </c>
      <c r="C473" s="12" t="s">
        <v>453</v>
      </c>
      <c r="D473" s="16" t="s">
        <v>111</v>
      </c>
      <c r="E473" s="10" t="s">
        <v>112</v>
      </c>
      <c r="F473" s="42">
        <f>157.5-12.6</f>
        <v>144.9</v>
      </c>
      <c r="G473" s="16">
        <v>144.9</v>
      </c>
    </row>
    <row r="474" spans="1:7" ht="33">
      <c r="A474" s="12" t="s">
        <v>24</v>
      </c>
      <c r="B474" s="12" t="s">
        <v>74</v>
      </c>
      <c r="C474" s="12" t="s">
        <v>453</v>
      </c>
      <c r="D474" s="16">
        <v>600</v>
      </c>
      <c r="E474" s="10" t="s">
        <v>131</v>
      </c>
      <c r="F474" s="42">
        <v>95.7</v>
      </c>
      <c r="G474" s="16">
        <v>95.7</v>
      </c>
    </row>
    <row r="475" spans="1:7" ht="33">
      <c r="A475" s="12" t="s">
        <v>24</v>
      </c>
      <c r="B475" s="12" t="s">
        <v>74</v>
      </c>
      <c r="C475" s="12" t="s">
        <v>498</v>
      </c>
      <c r="D475" s="16"/>
      <c r="E475" s="10" t="s">
        <v>502</v>
      </c>
      <c r="F475" s="42">
        <f>F476</f>
        <v>35.80000000000001</v>
      </c>
      <c r="G475" s="42">
        <f>G476</f>
        <v>35.5</v>
      </c>
    </row>
    <row r="476" spans="1:7" ht="12.75">
      <c r="A476" s="12" t="s">
        <v>24</v>
      </c>
      <c r="B476" s="12" t="s">
        <v>74</v>
      </c>
      <c r="C476" s="12" t="s">
        <v>498</v>
      </c>
      <c r="D476" s="16" t="s">
        <v>111</v>
      </c>
      <c r="E476" s="10" t="s">
        <v>112</v>
      </c>
      <c r="F476" s="42">
        <f>43.1+69.2-76.5</f>
        <v>35.80000000000001</v>
      </c>
      <c r="G476" s="42">
        <v>35.5</v>
      </c>
    </row>
    <row r="477" spans="1:7" ht="33">
      <c r="A477" s="12" t="s">
        <v>24</v>
      </c>
      <c r="B477" s="12" t="s">
        <v>74</v>
      </c>
      <c r="C477" s="12" t="s">
        <v>499</v>
      </c>
      <c r="D477" s="16"/>
      <c r="E477" s="10" t="s">
        <v>497</v>
      </c>
      <c r="F477" s="42">
        <f>F478</f>
        <v>2825</v>
      </c>
      <c r="G477" s="42">
        <f>G478</f>
        <v>2825</v>
      </c>
    </row>
    <row r="478" spans="1:7" ht="33">
      <c r="A478" s="12" t="s">
        <v>24</v>
      </c>
      <c r="B478" s="12" t="s">
        <v>74</v>
      </c>
      <c r="C478" s="12" t="s">
        <v>499</v>
      </c>
      <c r="D478" s="16">
        <v>600</v>
      </c>
      <c r="E478" s="10" t="s">
        <v>131</v>
      </c>
      <c r="F478" s="42">
        <f>2849.8-101.3+76.5</f>
        <v>2825</v>
      </c>
      <c r="G478" s="42">
        <v>2825</v>
      </c>
    </row>
    <row r="479" spans="1:7" ht="12.75">
      <c r="A479" s="12" t="s">
        <v>24</v>
      </c>
      <c r="B479" s="12" t="s">
        <v>90</v>
      </c>
      <c r="C479" s="12"/>
      <c r="D479" s="16"/>
      <c r="E479" s="10" t="s">
        <v>29</v>
      </c>
      <c r="F479" s="42">
        <f aca="true" t="shared" si="39" ref="F479:G480">F480</f>
        <v>14615.6</v>
      </c>
      <c r="G479" s="42">
        <f t="shared" si="39"/>
        <v>14615.5</v>
      </c>
    </row>
    <row r="480" spans="1:7" ht="33">
      <c r="A480" s="12" t="s">
        <v>24</v>
      </c>
      <c r="B480" s="12" t="s">
        <v>90</v>
      </c>
      <c r="C480" s="12" t="s">
        <v>330</v>
      </c>
      <c r="D480" s="16"/>
      <c r="E480" s="10" t="s">
        <v>127</v>
      </c>
      <c r="F480" s="42">
        <f t="shared" si="39"/>
        <v>14615.6</v>
      </c>
      <c r="G480" s="42">
        <f t="shared" si="39"/>
        <v>14615.5</v>
      </c>
    </row>
    <row r="481" spans="1:7" ht="12.75">
      <c r="A481" s="12" t="s">
        <v>24</v>
      </c>
      <c r="B481" s="12" t="s">
        <v>90</v>
      </c>
      <c r="C481" s="9" t="s">
        <v>356</v>
      </c>
      <c r="D481" s="9"/>
      <c r="E481" s="41" t="s">
        <v>5</v>
      </c>
      <c r="F481" s="42">
        <f>F482</f>
        <v>14615.6</v>
      </c>
      <c r="G481" s="42">
        <f>G482</f>
        <v>14615.5</v>
      </c>
    </row>
    <row r="482" spans="1:7" ht="12.75">
      <c r="A482" s="12" t="s">
        <v>24</v>
      </c>
      <c r="B482" s="12" t="s">
        <v>90</v>
      </c>
      <c r="C482" s="9" t="s">
        <v>384</v>
      </c>
      <c r="D482" s="9"/>
      <c r="E482" s="41" t="s">
        <v>385</v>
      </c>
      <c r="F482" s="42">
        <f>F483+F485+F490</f>
        <v>14615.6</v>
      </c>
      <c r="G482" s="42">
        <f>G483+G485+G490</f>
        <v>14615.5</v>
      </c>
    </row>
    <row r="483" spans="1:7" ht="66">
      <c r="A483" s="12" t="s">
        <v>24</v>
      </c>
      <c r="B483" s="12" t="s">
        <v>90</v>
      </c>
      <c r="C483" s="9" t="s">
        <v>357</v>
      </c>
      <c r="D483" s="9"/>
      <c r="E483" s="30" t="s">
        <v>113</v>
      </c>
      <c r="F483" s="42">
        <f>F484</f>
        <v>1906.9</v>
      </c>
      <c r="G483" s="42">
        <f>G484</f>
        <v>1906.9</v>
      </c>
    </row>
    <row r="484" spans="1:7" ht="66">
      <c r="A484" s="12" t="s">
        <v>24</v>
      </c>
      <c r="B484" s="12" t="s">
        <v>90</v>
      </c>
      <c r="C484" s="9" t="s">
        <v>357</v>
      </c>
      <c r="D484" s="44" t="s">
        <v>107</v>
      </c>
      <c r="E484" s="10" t="s">
        <v>6</v>
      </c>
      <c r="F484" s="42">
        <f>1930.3+37.2-60.6</f>
        <v>1906.9</v>
      </c>
      <c r="G484" s="16">
        <v>1906.9</v>
      </c>
    </row>
    <row r="485" spans="1:7" ht="49.5">
      <c r="A485" s="12" t="s">
        <v>24</v>
      </c>
      <c r="B485" s="12" t="s">
        <v>90</v>
      </c>
      <c r="C485" s="9" t="s">
        <v>358</v>
      </c>
      <c r="D485" s="9"/>
      <c r="E485" s="30" t="s">
        <v>142</v>
      </c>
      <c r="F485" s="42">
        <f>F486+F487+F489+F488</f>
        <v>8671.6</v>
      </c>
      <c r="G485" s="42">
        <f>G486+G487+G489+G488</f>
        <v>8671.6</v>
      </c>
    </row>
    <row r="486" spans="1:7" ht="66">
      <c r="A486" s="12" t="s">
        <v>24</v>
      </c>
      <c r="B486" s="12" t="s">
        <v>90</v>
      </c>
      <c r="C486" s="9" t="s">
        <v>358</v>
      </c>
      <c r="D486" s="44" t="s">
        <v>107</v>
      </c>
      <c r="E486" s="10" t="s">
        <v>6</v>
      </c>
      <c r="F486" s="42">
        <f>6517.2-11.5+39.3</f>
        <v>6545</v>
      </c>
      <c r="G486" s="42">
        <v>6545</v>
      </c>
    </row>
    <row r="487" spans="1:7" ht="33">
      <c r="A487" s="12" t="s">
        <v>24</v>
      </c>
      <c r="B487" s="12" t="s">
        <v>90</v>
      </c>
      <c r="C487" s="9" t="s">
        <v>358</v>
      </c>
      <c r="D487" s="44" t="s">
        <v>108</v>
      </c>
      <c r="E487" s="10" t="s">
        <v>454</v>
      </c>
      <c r="F487" s="42">
        <f>1879.2+30+70-85.3-44.9+22.9-9-0.1</f>
        <v>1862.8000000000002</v>
      </c>
      <c r="G487" s="42">
        <v>1862.8</v>
      </c>
    </row>
    <row r="488" spans="1:7" ht="12.75">
      <c r="A488" s="12" t="s">
        <v>24</v>
      </c>
      <c r="B488" s="12" t="s">
        <v>90</v>
      </c>
      <c r="C488" s="9" t="s">
        <v>358</v>
      </c>
      <c r="D488" s="16" t="s">
        <v>111</v>
      </c>
      <c r="E488" s="10" t="s">
        <v>112</v>
      </c>
      <c r="F488" s="42">
        <f>85.3+19.2+9+0.1</f>
        <v>113.6</v>
      </c>
      <c r="G488" s="16">
        <v>113.6</v>
      </c>
    </row>
    <row r="489" spans="1:7" ht="12.75">
      <c r="A489" s="12" t="s">
        <v>24</v>
      </c>
      <c r="B489" s="12" t="s">
        <v>90</v>
      </c>
      <c r="C489" s="9" t="s">
        <v>358</v>
      </c>
      <c r="D489" s="44" t="s">
        <v>109</v>
      </c>
      <c r="E489" s="46" t="s">
        <v>110</v>
      </c>
      <c r="F489" s="42">
        <f>181.8-21.7-9.9</f>
        <v>150.20000000000002</v>
      </c>
      <c r="G489" s="16">
        <v>150.2</v>
      </c>
    </row>
    <row r="490" spans="1:7" ht="33">
      <c r="A490" s="12" t="s">
        <v>24</v>
      </c>
      <c r="B490" s="12" t="s">
        <v>90</v>
      </c>
      <c r="C490" s="9" t="s">
        <v>359</v>
      </c>
      <c r="D490" s="9"/>
      <c r="E490" s="30" t="s">
        <v>143</v>
      </c>
      <c r="F490" s="42">
        <f>F491+F492+F493</f>
        <v>4037.1000000000004</v>
      </c>
      <c r="G490" s="42">
        <f>G491+G492+G493</f>
        <v>4037</v>
      </c>
    </row>
    <row r="491" spans="1:7" ht="66">
      <c r="A491" s="12" t="s">
        <v>24</v>
      </c>
      <c r="B491" s="12" t="s">
        <v>90</v>
      </c>
      <c r="C491" s="9" t="s">
        <v>359</v>
      </c>
      <c r="D491" s="44" t="s">
        <v>107</v>
      </c>
      <c r="E491" s="10" t="s">
        <v>6</v>
      </c>
      <c r="F491" s="42">
        <f>4112.1-584.5-134.3-80.2</f>
        <v>3313.1000000000004</v>
      </c>
      <c r="G491" s="42">
        <v>3313</v>
      </c>
    </row>
    <row r="492" spans="1:7" ht="33">
      <c r="A492" s="12" t="s">
        <v>24</v>
      </c>
      <c r="B492" s="12" t="s">
        <v>90</v>
      </c>
      <c r="C492" s="9" t="s">
        <v>359</v>
      </c>
      <c r="D492" s="44" t="s">
        <v>108</v>
      </c>
      <c r="E492" s="10" t="s">
        <v>454</v>
      </c>
      <c r="F492" s="42">
        <f>696.9-70-37.2</f>
        <v>589.6999999999999</v>
      </c>
      <c r="G492" s="16">
        <v>589.7</v>
      </c>
    </row>
    <row r="493" spans="1:7" ht="12.75">
      <c r="A493" s="12" t="s">
        <v>24</v>
      </c>
      <c r="B493" s="12" t="s">
        <v>90</v>
      </c>
      <c r="C493" s="9" t="s">
        <v>359</v>
      </c>
      <c r="D493" s="16" t="s">
        <v>111</v>
      </c>
      <c r="E493" s="10" t="s">
        <v>112</v>
      </c>
      <c r="F493" s="42">
        <v>134.3</v>
      </c>
      <c r="G493" s="16">
        <v>134.3</v>
      </c>
    </row>
    <row r="494" spans="1:7" ht="12.75">
      <c r="A494" s="12" t="s">
        <v>24</v>
      </c>
      <c r="B494" s="12" t="s">
        <v>75</v>
      </c>
      <c r="C494" s="12"/>
      <c r="D494" s="16"/>
      <c r="E494" s="41" t="s">
        <v>67</v>
      </c>
      <c r="F494" s="42">
        <f aca="true" t="shared" si="40" ref="F494:G498">F495</f>
        <v>7487.8</v>
      </c>
      <c r="G494" s="42">
        <f t="shared" si="40"/>
        <v>7487.8</v>
      </c>
    </row>
    <row r="495" spans="1:7" ht="12.75">
      <c r="A495" s="12" t="s">
        <v>24</v>
      </c>
      <c r="B495" s="16">
        <v>1004</v>
      </c>
      <c r="C495" s="12"/>
      <c r="D495" s="16"/>
      <c r="E495" s="10" t="s">
        <v>145</v>
      </c>
      <c r="F495" s="42">
        <f t="shared" si="40"/>
        <v>7487.8</v>
      </c>
      <c r="G495" s="42">
        <f t="shared" si="40"/>
        <v>7487.8</v>
      </c>
    </row>
    <row r="496" spans="1:7" ht="45" customHeight="1">
      <c r="A496" s="12" t="s">
        <v>24</v>
      </c>
      <c r="B496" s="16">
        <v>1004</v>
      </c>
      <c r="C496" s="12" t="s">
        <v>330</v>
      </c>
      <c r="D496" s="16"/>
      <c r="E496" s="10" t="s">
        <v>127</v>
      </c>
      <c r="F496" s="42">
        <f t="shared" si="40"/>
        <v>7487.8</v>
      </c>
      <c r="G496" s="42">
        <f t="shared" si="40"/>
        <v>7487.8</v>
      </c>
    </row>
    <row r="497" spans="1:7" ht="33">
      <c r="A497" s="12" t="s">
        <v>24</v>
      </c>
      <c r="B497" s="16">
        <v>1004</v>
      </c>
      <c r="C497" s="12" t="s">
        <v>331</v>
      </c>
      <c r="D497" s="16"/>
      <c r="E497" s="10" t="s">
        <v>128</v>
      </c>
      <c r="F497" s="42">
        <f t="shared" si="40"/>
        <v>7487.8</v>
      </c>
      <c r="G497" s="42">
        <f t="shared" si="40"/>
        <v>7487.8</v>
      </c>
    </row>
    <row r="498" spans="1:7" ht="33">
      <c r="A498" s="12" t="s">
        <v>24</v>
      </c>
      <c r="B498" s="16">
        <v>1004</v>
      </c>
      <c r="C498" s="12" t="s">
        <v>373</v>
      </c>
      <c r="D498" s="16"/>
      <c r="E498" s="10" t="s">
        <v>375</v>
      </c>
      <c r="F498" s="42">
        <f t="shared" si="40"/>
        <v>7487.8</v>
      </c>
      <c r="G498" s="42">
        <f t="shared" si="40"/>
        <v>7487.8</v>
      </c>
    </row>
    <row r="499" spans="1:7" ht="59.45" customHeight="1">
      <c r="A499" s="12" t="s">
        <v>24</v>
      </c>
      <c r="B499" s="16">
        <v>1004</v>
      </c>
      <c r="C499" s="9" t="s">
        <v>360</v>
      </c>
      <c r="D499" s="9"/>
      <c r="E499" s="41" t="s">
        <v>146</v>
      </c>
      <c r="F499" s="42">
        <f>F501+F500</f>
        <v>7487.8</v>
      </c>
      <c r="G499" s="42">
        <f>G501+G500</f>
        <v>7487.8</v>
      </c>
    </row>
    <row r="500" spans="1:7" ht="33">
      <c r="A500" s="12" t="s">
        <v>24</v>
      </c>
      <c r="B500" s="16">
        <v>1004</v>
      </c>
      <c r="C500" s="9" t="s">
        <v>360</v>
      </c>
      <c r="D500" s="44" t="s">
        <v>108</v>
      </c>
      <c r="E500" s="10" t="s">
        <v>454</v>
      </c>
      <c r="F500" s="42">
        <f>212.6+5.5-6.6</f>
        <v>211.5</v>
      </c>
      <c r="G500" s="42">
        <v>211.5</v>
      </c>
    </row>
    <row r="501" spans="1:7" ht="12.75">
      <c r="A501" s="12" t="s">
        <v>24</v>
      </c>
      <c r="B501" s="12" t="s">
        <v>144</v>
      </c>
      <c r="C501" s="9" t="s">
        <v>360</v>
      </c>
      <c r="D501" s="16" t="s">
        <v>111</v>
      </c>
      <c r="E501" s="10" t="s">
        <v>112</v>
      </c>
      <c r="F501" s="42">
        <f>7087+182.7+6.6</f>
        <v>7276.3</v>
      </c>
      <c r="G501" s="42">
        <v>7276.3</v>
      </c>
    </row>
  </sheetData>
  <mergeCells count="4">
    <mergeCell ref="A4:G4"/>
    <mergeCell ref="E1:G1"/>
    <mergeCell ref="C2:G2"/>
    <mergeCell ref="B3:G3"/>
  </mergeCells>
  <printOptions/>
  <pageMargins left="0.5905511811023623" right="0.1968503937007874" top="0.1968503937007874" bottom="0.1968503937007874" header="0.5118110236220472" footer="0.5118110236220472"/>
  <pageSetup fitToHeight="0" fitToWidth="1" horizontalDpi="600" verticalDpi="6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405"/>
  <sheetViews>
    <sheetView zoomScale="89" zoomScaleNormal="89" workbookViewId="0" topLeftCell="A1">
      <selection activeCell="D15" sqref="D15"/>
    </sheetView>
  </sheetViews>
  <sheetFormatPr defaultColWidth="9.125" defaultRowHeight="12.75"/>
  <cols>
    <col min="1" max="1" width="7.125" style="43" customWidth="1"/>
    <col min="2" max="2" width="15.625" style="68" customWidth="1"/>
    <col min="3" max="3" width="6.00390625" style="92" customWidth="1"/>
    <col min="4" max="4" width="75.75390625" style="43" customWidth="1"/>
    <col min="5" max="5" width="14.00390625" style="59" customWidth="1"/>
    <col min="6" max="6" width="12.75390625" style="43" customWidth="1"/>
    <col min="7" max="16384" width="9.125" style="43" customWidth="1"/>
  </cols>
  <sheetData>
    <row r="1" spans="1:6" ht="16.9" customHeight="1">
      <c r="A1" s="109"/>
      <c r="B1" s="60"/>
      <c r="C1" s="108"/>
      <c r="D1" s="265" t="s">
        <v>582</v>
      </c>
      <c r="E1" s="265"/>
      <c r="F1" s="265"/>
    </row>
    <row r="2" spans="1:6" ht="16.9" customHeight="1">
      <c r="A2" s="268" t="s">
        <v>1145</v>
      </c>
      <c r="B2" s="268"/>
      <c r="C2" s="268"/>
      <c r="D2" s="268"/>
      <c r="E2" s="268"/>
      <c r="F2" s="268"/>
    </row>
    <row r="3" spans="1:6" ht="16.9" customHeight="1">
      <c r="A3" s="269" t="s">
        <v>1146</v>
      </c>
      <c r="B3" s="269"/>
      <c r="C3" s="269"/>
      <c r="D3" s="269"/>
      <c r="E3" s="269"/>
      <c r="F3" s="269"/>
    </row>
    <row r="4" spans="1:5" ht="16.9" customHeight="1">
      <c r="A4" s="91"/>
      <c r="B4" s="91"/>
      <c r="C4" s="91"/>
      <c r="D4" s="91"/>
      <c r="E4" s="145"/>
    </row>
    <row r="5" spans="1:6" s="57" customFormat="1" ht="52.5" customHeight="1">
      <c r="A5" s="264" t="s">
        <v>581</v>
      </c>
      <c r="B5" s="264"/>
      <c r="C5" s="264"/>
      <c r="D5" s="264"/>
      <c r="E5" s="264"/>
      <c r="F5" s="264"/>
    </row>
    <row r="6" spans="1:6" s="57" customFormat="1" ht="18.6" customHeight="1">
      <c r="A6" s="90"/>
      <c r="B6" s="90"/>
      <c r="C6" s="90"/>
      <c r="D6" s="90"/>
      <c r="E6" s="58"/>
      <c r="F6" s="83" t="s">
        <v>641</v>
      </c>
    </row>
    <row r="7" spans="1:6" ht="49.5">
      <c r="A7" s="41" t="s">
        <v>72</v>
      </c>
      <c r="B7" s="67" t="s">
        <v>34</v>
      </c>
      <c r="C7" s="41" t="s">
        <v>35</v>
      </c>
      <c r="D7" s="16" t="s">
        <v>36</v>
      </c>
      <c r="E7" s="144" t="s">
        <v>575</v>
      </c>
      <c r="F7" s="16" t="s">
        <v>576</v>
      </c>
    </row>
    <row r="8" spans="1:6" ht="12.75">
      <c r="A8" s="61">
        <v>1</v>
      </c>
      <c r="B8" s="62" t="s">
        <v>117</v>
      </c>
      <c r="C8" s="16">
        <v>3</v>
      </c>
      <c r="D8" s="61">
        <v>4</v>
      </c>
      <c r="E8" s="53">
        <v>5</v>
      </c>
      <c r="F8" s="61">
        <v>6</v>
      </c>
    </row>
    <row r="9" spans="1:6" s="56" customFormat="1" ht="12.75">
      <c r="A9" s="63"/>
      <c r="B9" s="64"/>
      <c r="C9" s="65"/>
      <c r="D9" s="63" t="s">
        <v>4</v>
      </c>
      <c r="E9" s="52">
        <f>E10+E103+E117+E166+E202+E307+E333+E368+E387+E399</f>
        <v>657743.9</v>
      </c>
      <c r="F9" s="52">
        <f>F10+F103+F117+F166+F202+F307+F333+F368+F387+F399</f>
        <v>648453.4999999999</v>
      </c>
    </row>
    <row r="10" spans="1:6" s="56" customFormat="1" ht="12.75">
      <c r="A10" s="33" t="s">
        <v>92</v>
      </c>
      <c r="B10" s="33"/>
      <c r="C10" s="33"/>
      <c r="D10" s="34" t="s">
        <v>38</v>
      </c>
      <c r="E10" s="52">
        <f>E11+E16+E27+E37+E42+E49+E54</f>
        <v>67381.1</v>
      </c>
      <c r="F10" s="52">
        <f>F11+F16+F27+F37+F42+F49+F54</f>
        <v>65249.4</v>
      </c>
    </row>
    <row r="11" spans="1:6" ht="33">
      <c r="A11" s="32" t="s">
        <v>79</v>
      </c>
      <c r="B11" s="32"/>
      <c r="C11" s="32"/>
      <c r="D11" s="30" t="s">
        <v>97</v>
      </c>
      <c r="E11" s="42">
        <f aca="true" t="shared" si="0" ref="E11:F14">E12</f>
        <v>1757</v>
      </c>
      <c r="F11" s="42">
        <f t="shared" si="0"/>
        <v>1604.4</v>
      </c>
    </row>
    <row r="12" spans="1:6" ht="49.5">
      <c r="A12" s="32" t="s">
        <v>79</v>
      </c>
      <c r="B12" s="12" t="s">
        <v>248</v>
      </c>
      <c r="C12" s="16"/>
      <c r="D12" s="30" t="s">
        <v>229</v>
      </c>
      <c r="E12" s="42">
        <f t="shared" si="0"/>
        <v>1757</v>
      </c>
      <c r="F12" s="42">
        <f t="shared" si="0"/>
        <v>1604.4</v>
      </c>
    </row>
    <row r="13" spans="1:6" ht="21" customHeight="1">
      <c r="A13" s="32" t="s">
        <v>79</v>
      </c>
      <c r="B13" s="12" t="s">
        <v>249</v>
      </c>
      <c r="C13" s="16"/>
      <c r="D13" s="30" t="s">
        <v>5</v>
      </c>
      <c r="E13" s="42">
        <f t="shared" si="0"/>
        <v>1757</v>
      </c>
      <c r="F13" s="42">
        <f t="shared" si="0"/>
        <v>1604.4</v>
      </c>
    </row>
    <row r="14" spans="1:6" ht="12.75">
      <c r="A14" s="32" t="s">
        <v>79</v>
      </c>
      <c r="B14" s="12" t="s">
        <v>250</v>
      </c>
      <c r="C14" s="9"/>
      <c r="D14" s="30" t="s">
        <v>55</v>
      </c>
      <c r="E14" s="42">
        <f t="shared" si="0"/>
        <v>1757</v>
      </c>
      <c r="F14" s="42">
        <f t="shared" si="0"/>
        <v>1604.4</v>
      </c>
    </row>
    <row r="15" spans="1:6" ht="66">
      <c r="A15" s="32" t="s">
        <v>79</v>
      </c>
      <c r="B15" s="12" t="s">
        <v>250</v>
      </c>
      <c r="C15" s="16">
        <v>100</v>
      </c>
      <c r="D15" s="66" t="s">
        <v>6</v>
      </c>
      <c r="E15" s="42">
        <f>'№8 (ведомст.)'!F16</f>
        <v>1757</v>
      </c>
      <c r="F15" s="42">
        <f>'№8 (ведомст.)'!G16</f>
        <v>1604.4</v>
      </c>
    </row>
    <row r="16" spans="1:6" ht="49.5">
      <c r="A16" s="12" t="s">
        <v>80</v>
      </c>
      <c r="B16" s="67"/>
      <c r="C16" s="16"/>
      <c r="D16" s="10" t="s">
        <v>56</v>
      </c>
      <c r="E16" s="42">
        <f aca="true" t="shared" si="1" ref="E16:F17">E17</f>
        <v>4003.7999999999997</v>
      </c>
      <c r="F16" s="42">
        <f t="shared" si="1"/>
        <v>3981.2</v>
      </c>
    </row>
    <row r="17" spans="1:6" ht="12.75">
      <c r="A17" s="12" t="s">
        <v>80</v>
      </c>
      <c r="B17" s="4">
        <v>9900000000</v>
      </c>
      <c r="C17" s="45"/>
      <c r="D17" s="31" t="s">
        <v>9</v>
      </c>
      <c r="E17" s="42">
        <f t="shared" si="1"/>
        <v>4003.7999999999997</v>
      </c>
      <c r="F17" s="42">
        <f t="shared" si="1"/>
        <v>3981.2</v>
      </c>
    </row>
    <row r="18" spans="1:6" ht="44.45" customHeight="1">
      <c r="A18" s="12" t="s">
        <v>80</v>
      </c>
      <c r="B18" s="4">
        <v>9990000000</v>
      </c>
      <c r="C18" s="9" t="s">
        <v>105</v>
      </c>
      <c r="D18" s="31" t="s">
        <v>10</v>
      </c>
      <c r="E18" s="42">
        <f>E19+E21</f>
        <v>4003.7999999999997</v>
      </c>
      <c r="F18" s="42">
        <f>F19+F21</f>
        <v>3981.2</v>
      </c>
    </row>
    <row r="19" spans="1:6" ht="22.9" customHeight="1">
      <c r="A19" s="12" t="s">
        <v>80</v>
      </c>
      <c r="B19" s="4" t="s">
        <v>324</v>
      </c>
      <c r="C19" s="9" t="s">
        <v>105</v>
      </c>
      <c r="D19" s="31" t="s">
        <v>11</v>
      </c>
      <c r="E19" s="42">
        <f>E20</f>
        <v>1198.9</v>
      </c>
      <c r="F19" s="42">
        <f>F20</f>
        <v>1198.9</v>
      </c>
    </row>
    <row r="20" spans="1:6" ht="71.45" customHeight="1">
      <c r="A20" s="12" t="s">
        <v>80</v>
      </c>
      <c r="B20" s="4" t="s">
        <v>324</v>
      </c>
      <c r="C20" s="44" t="s">
        <v>107</v>
      </c>
      <c r="D20" s="10" t="s">
        <v>6</v>
      </c>
      <c r="E20" s="42">
        <f>'№8 (ведомст.)'!F336</f>
        <v>1198.9</v>
      </c>
      <c r="F20" s="42">
        <f>'№8 (ведомст.)'!G336</f>
        <v>1198.9</v>
      </c>
    </row>
    <row r="21" spans="1:6" ht="36.6" customHeight="1">
      <c r="A21" s="12" t="s">
        <v>80</v>
      </c>
      <c r="B21" s="4" t="s">
        <v>325</v>
      </c>
      <c r="C21" s="9" t="s">
        <v>105</v>
      </c>
      <c r="D21" s="31" t="s">
        <v>12</v>
      </c>
      <c r="E21" s="42">
        <f>E22+E23+E24</f>
        <v>2804.8999999999996</v>
      </c>
      <c r="F21" s="42">
        <f>F22+F23+F24</f>
        <v>2782.2999999999997</v>
      </c>
    </row>
    <row r="22" spans="1:6" ht="67.9" customHeight="1">
      <c r="A22" s="12" t="s">
        <v>80</v>
      </c>
      <c r="B22" s="4" t="s">
        <v>325</v>
      </c>
      <c r="C22" s="44" t="s">
        <v>107</v>
      </c>
      <c r="D22" s="10" t="s">
        <v>6</v>
      </c>
      <c r="E22" s="42">
        <f>'№8 (ведомст.)'!F338</f>
        <v>1910.3999999999999</v>
      </c>
      <c r="F22" s="42">
        <f>'№8 (ведомст.)'!G338</f>
        <v>1892.1</v>
      </c>
    </row>
    <row r="23" spans="1:6" ht="33">
      <c r="A23" s="12" t="s">
        <v>80</v>
      </c>
      <c r="B23" s="4" t="s">
        <v>325</v>
      </c>
      <c r="C23" s="44" t="s">
        <v>108</v>
      </c>
      <c r="D23" s="10" t="s">
        <v>454</v>
      </c>
      <c r="E23" s="42">
        <f>'№8 (ведомст.)'!F339</f>
        <v>892.8</v>
      </c>
      <c r="F23" s="42">
        <f>'№8 (ведомст.)'!G339</f>
        <v>888.5</v>
      </c>
    </row>
    <row r="24" spans="1:6" ht="18.6" customHeight="1">
      <c r="A24" s="12" t="s">
        <v>80</v>
      </c>
      <c r="B24" s="4" t="s">
        <v>325</v>
      </c>
      <c r="C24" s="44" t="s">
        <v>109</v>
      </c>
      <c r="D24" s="10" t="s">
        <v>110</v>
      </c>
      <c r="E24" s="42">
        <f>'№8 (ведомст.)'!F340</f>
        <v>1.7</v>
      </c>
      <c r="F24" s="42">
        <f>'№8 (ведомст.)'!G340</f>
        <v>1.7</v>
      </c>
    </row>
    <row r="25" spans="1:6" ht="55.9" customHeight="1">
      <c r="A25" s="32" t="s">
        <v>81</v>
      </c>
      <c r="B25" s="32"/>
      <c r="C25" s="32"/>
      <c r="D25" s="30" t="s">
        <v>57</v>
      </c>
      <c r="E25" s="42">
        <f aca="true" t="shared" si="2" ref="E25:F26">E26</f>
        <v>36509.8</v>
      </c>
      <c r="F25" s="42">
        <f t="shared" si="2"/>
        <v>36421.2</v>
      </c>
    </row>
    <row r="26" spans="1:6" ht="49.5">
      <c r="A26" s="32" t="s">
        <v>81</v>
      </c>
      <c r="B26" s="12" t="s">
        <v>248</v>
      </c>
      <c r="C26" s="16"/>
      <c r="D26" s="30" t="s">
        <v>229</v>
      </c>
      <c r="E26" s="42">
        <f t="shared" si="2"/>
        <v>36509.8</v>
      </c>
      <c r="F26" s="42">
        <f t="shared" si="2"/>
        <v>36421.2</v>
      </c>
    </row>
    <row r="27" spans="1:6" ht="18.75" customHeight="1">
      <c r="A27" s="32" t="s">
        <v>81</v>
      </c>
      <c r="B27" s="12" t="s">
        <v>249</v>
      </c>
      <c r="C27" s="16"/>
      <c r="D27" s="30" t="s">
        <v>5</v>
      </c>
      <c r="E27" s="42">
        <f>E28+E32+E34</f>
        <v>36509.8</v>
      </c>
      <c r="F27" s="42">
        <f>F28+F32+F34</f>
        <v>36421.2</v>
      </c>
    </row>
    <row r="28" spans="1:6" ht="66">
      <c r="A28" s="32" t="s">
        <v>81</v>
      </c>
      <c r="B28" s="12" t="s">
        <v>251</v>
      </c>
      <c r="C28" s="9"/>
      <c r="D28" s="30" t="s">
        <v>113</v>
      </c>
      <c r="E28" s="42">
        <f>E29+E30+E31</f>
        <v>35792.5</v>
      </c>
      <c r="F28" s="42">
        <f>F29+F30+F31</f>
        <v>35703.899999999994</v>
      </c>
    </row>
    <row r="29" spans="1:6" ht="66">
      <c r="A29" s="32" t="s">
        <v>81</v>
      </c>
      <c r="B29" s="12" t="s">
        <v>251</v>
      </c>
      <c r="C29" s="44" t="s">
        <v>107</v>
      </c>
      <c r="D29" s="10" t="s">
        <v>6</v>
      </c>
      <c r="E29" s="42">
        <f>'№8 (ведомст.)'!F22</f>
        <v>30955.000000000004</v>
      </c>
      <c r="F29" s="42">
        <f>'№8 (ведомст.)'!G22</f>
        <v>30945.1</v>
      </c>
    </row>
    <row r="30" spans="1:6" ht="36.6" customHeight="1">
      <c r="A30" s="32" t="s">
        <v>81</v>
      </c>
      <c r="B30" s="12" t="s">
        <v>251</v>
      </c>
      <c r="C30" s="44" t="s">
        <v>108</v>
      </c>
      <c r="D30" s="10" t="s">
        <v>454</v>
      </c>
      <c r="E30" s="42">
        <f>'№8 (ведомст.)'!F23</f>
        <v>4692.5</v>
      </c>
      <c r="F30" s="42">
        <f>'№8 (ведомст.)'!G23</f>
        <v>4615.2</v>
      </c>
    </row>
    <row r="31" spans="1:6" ht="18.6" customHeight="1">
      <c r="A31" s="32" t="s">
        <v>81</v>
      </c>
      <c r="B31" s="12" t="s">
        <v>251</v>
      </c>
      <c r="C31" s="44" t="s">
        <v>109</v>
      </c>
      <c r="D31" s="46" t="s">
        <v>110</v>
      </c>
      <c r="E31" s="42">
        <f>'№8 (ведомст.)'!F24</f>
        <v>145</v>
      </c>
      <c r="F31" s="42">
        <f>'№8 (ведомст.)'!G24</f>
        <v>143.6</v>
      </c>
    </row>
    <row r="32" spans="1:6" ht="49.5">
      <c r="A32" s="32" t="s">
        <v>81</v>
      </c>
      <c r="B32" s="12" t="s">
        <v>252</v>
      </c>
      <c r="C32" s="9"/>
      <c r="D32" s="10" t="s">
        <v>114</v>
      </c>
      <c r="E32" s="42">
        <f>E33</f>
        <v>67.3</v>
      </c>
      <c r="F32" s="42">
        <f>F33</f>
        <v>67.3</v>
      </c>
    </row>
    <row r="33" spans="1:6" ht="69.6" customHeight="1">
      <c r="A33" s="32" t="s">
        <v>81</v>
      </c>
      <c r="B33" s="12" t="s">
        <v>252</v>
      </c>
      <c r="C33" s="44" t="s">
        <v>107</v>
      </c>
      <c r="D33" s="10" t="s">
        <v>6</v>
      </c>
      <c r="E33" s="42">
        <f>'№8 (ведомст.)'!F26</f>
        <v>67.3</v>
      </c>
      <c r="F33" s="42">
        <f>'№8 (ведомст.)'!G26</f>
        <v>67.3</v>
      </c>
    </row>
    <row r="34" spans="1:6" ht="58.9" customHeight="1">
      <c r="A34" s="32" t="s">
        <v>81</v>
      </c>
      <c r="B34" s="9" t="s">
        <v>253</v>
      </c>
      <c r="C34" s="9"/>
      <c r="D34" s="41" t="s">
        <v>371</v>
      </c>
      <c r="E34" s="42">
        <f>E35+E36</f>
        <v>650</v>
      </c>
      <c r="F34" s="42">
        <f>F35+F36</f>
        <v>650</v>
      </c>
    </row>
    <row r="35" spans="1:6" ht="66">
      <c r="A35" s="32" t="s">
        <v>81</v>
      </c>
      <c r="B35" s="9" t="s">
        <v>253</v>
      </c>
      <c r="C35" s="44" t="s">
        <v>107</v>
      </c>
      <c r="D35" s="10" t="s">
        <v>6</v>
      </c>
      <c r="E35" s="42">
        <f>'№8 (ведомст.)'!F28</f>
        <v>591</v>
      </c>
      <c r="F35" s="42">
        <f>'№8 (ведомст.)'!G28</f>
        <v>591</v>
      </c>
    </row>
    <row r="36" spans="1:6" ht="36" customHeight="1">
      <c r="A36" s="32" t="s">
        <v>81</v>
      </c>
      <c r="B36" s="9" t="s">
        <v>253</v>
      </c>
      <c r="C36" s="44" t="s">
        <v>108</v>
      </c>
      <c r="D36" s="10" t="s">
        <v>454</v>
      </c>
      <c r="E36" s="42">
        <f>'№8 (ведомст.)'!F29</f>
        <v>59</v>
      </c>
      <c r="F36" s="42">
        <f>'№8 (ведомст.)'!G29</f>
        <v>59</v>
      </c>
    </row>
    <row r="37" spans="1:6" ht="21.6" customHeight="1">
      <c r="A37" s="32" t="s">
        <v>1</v>
      </c>
      <c r="B37" s="9"/>
      <c r="C37" s="44"/>
      <c r="D37" s="10" t="s">
        <v>2</v>
      </c>
      <c r="E37" s="42">
        <f aca="true" t="shared" si="3" ref="E37:F40">E38</f>
        <v>42.8</v>
      </c>
      <c r="F37" s="42">
        <f t="shared" si="3"/>
        <v>0</v>
      </c>
    </row>
    <row r="38" spans="1:6" ht="52.9" customHeight="1">
      <c r="A38" s="32" t="s">
        <v>1</v>
      </c>
      <c r="B38" s="12" t="s">
        <v>248</v>
      </c>
      <c r="C38" s="44"/>
      <c r="D38" s="30" t="s">
        <v>229</v>
      </c>
      <c r="E38" s="42">
        <f t="shared" si="3"/>
        <v>42.8</v>
      </c>
      <c r="F38" s="42">
        <f t="shared" si="3"/>
        <v>0</v>
      </c>
    </row>
    <row r="39" spans="1:6" ht="54.6" customHeight="1">
      <c r="A39" s="32" t="s">
        <v>1</v>
      </c>
      <c r="B39" s="12" t="s">
        <v>254</v>
      </c>
      <c r="C39" s="44"/>
      <c r="D39" s="10" t="s">
        <v>13</v>
      </c>
      <c r="E39" s="42">
        <f t="shared" si="3"/>
        <v>42.8</v>
      </c>
      <c r="F39" s="42">
        <f t="shared" si="3"/>
        <v>0</v>
      </c>
    </row>
    <row r="40" spans="1:6" ht="52.15" customHeight="1">
      <c r="A40" s="32" t="s">
        <v>1</v>
      </c>
      <c r="B40" s="9" t="s">
        <v>255</v>
      </c>
      <c r="C40" s="9"/>
      <c r="D40" s="41" t="s">
        <v>368</v>
      </c>
      <c r="E40" s="42">
        <f t="shared" si="3"/>
        <v>42.8</v>
      </c>
      <c r="F40" s="42">
        <f t="shared" si="3"/>
        <v>0</v>
      </c>
    </row>
    <row r="41" spans="1:6" ht="33">
      <c r="A41" s="32" t="s">
        <v>1</v>
      </c>
      <c r="B41" s="9" t="s">
        <v>255</v>
      </c>
      <c r="C41" s="44" t="s">
        <v>108</v>
      </c>
      <c r="D41" s="10" t="s">
        <v>454</v>
      </c>
      <c r="E41" s="42">
        <f>'№8 (ведомст.)'!F35</f>
        <v>42.8</v>
      </c>
      <c r="F41" s="42">
        <f>'№8 (ведомст.)'!G35</f>
        <v>0</v>
      </c>
    </row>
    <row r="42" spans="1:6" ht="44.45" customHeight="1">
      <c r="A42" s="32" t="s">
        <v>82</v>
      </c>
      <c r="B42" s="32"/>
      <c r="C42" s="32"/>
      <c r="D42" s="10" t="s">
        <v>22</v>
      </c>
      <c r="E42" s="42">
        <f aca="true" t="shared" si="4" ref="E42:F44">E43</f>
        <v>10781.2</v>
      </c>
      <c r="F42" s="42">
        <f t="shared" si="4"/>
        <v>10776.4</v>
      </c>
    </row>
    <row r="43" spans="1:6" ht="41.45" customHeight="1">
      <c r="A43" s="32" t="s">
        <v>82</v>
      </c>
      <c r="B43" s="9" t="s">
        <v>306</v>
      </c>
      <c r="C43" s="44"/>
      <c r="D43" s="10" t="s">
        <v>14</v>
      </c>
      <c r="E43" s="42">
        <f t="shared" si="4"/>
        <v>10781.2</v>
      </c>
      <c r="F43" s="42">
        <f t="shared" si="4"/>
        <v>10776.4</v>
      </c>
    </row>
    <row r="44" spans="1:6" ht="19.9" customHeight="1">
      <c r="A44" s="32" t="s">
        <v>82</v>
      </c>
      <c r="B44" s="12" t="s">
        <v>307</v>
      </c>
      <c r="C44" s="16"/>
      <c r="D44" s="30" t="s">
        <v>5</v>
      </c>
      <c r="E44" s="42">
        <f t="shared" si="4"/>
        <v>10781.2</v>
      </c>
      <c r="F44" s="42">
        <f t="shared" si="4"/>
        <v>10776.4</v>
      </c>
    </row>
    <row r="45" spans="1:6" ht="70.15" customHeight="1">
      <c r="A45" s="32" t="s">
        <v>82</v>
      </c>
      <c r="B45" s="9" t="s">
        <v>308</v>
      </c>
      <c r="C45" s="9"/>
      <c r="D45" s="30" t="s">
        <v>113</v>
      </c>
      <c r="E45" s="42">
        <f>E46+E47+E48</f>
        <v>10781.2</v>
      </c>
      <c r="F45" s="42">
        <f>F46+F47+F48</f>
        <v>10776.4</v>
      </c>
    </row>
    <row r="46" spans="1:6" ht="66">
      <c r="A46" s="32" t="s">
        <v>82</v>
      </c>
      <c r="B46" s="9" t="s">
        <v>308</v>
      </c>
      <c r="C46" s="44" t="s">
        <v>107</v>
      </c>
      <c r="D46" s="10" t="s">
        <v>6</v>
      </c>
      <c r="E46" s="42">
        <f>'№8 (ведомст.)'!F260</f>
        <v>7908.400000000001</v>
      </c>
      <c r="F46" s="42">
        <f>'№8 (ведомст.)'!G260</f>
        <v>7903.8</v>
      </c>
    </row>
    <row r="47" spans="1:6" ht="36.6" customHeight="1">
      <c r="A47" s="32" t="s">
        <v>82</v>
      </c>
      <c r="B47" s="9" t="s">
        <v>308</v>
      </c>
      <c r="C47" s="44" t="s">
        <v>108</v>
      </c>
      <c r="D47" s="10" t="s">
        <v>454</v>
      </c>
      <c r="E47" s="42">
        <f>'№8 (ведомст.)'!F261</f>
        <v>2754.4</v>
      </c>
      <c r="F47" s="42">
        <f>'№8 (ведомст.)'!G261</f>
        <v>2754.2</v>
      </c>
    </row>
    <row r="48" spans="1:6" ht="19.9" customHeight="1">
      <c r="A48" s="32" t="s">
        <v>82</v>
      </c>
      <c r="B48" s="9" t="s">
        <v>308</v>
      </c>
      <c r="C48" s="44" t="s">
        <v>109</v>
      </c>
      <c r="D48" s="10" t="s">
        <v>110</v>
      </c>
      <c r="E48" s="42">
        <f>'№8 (ведомст.)'!F262</f>
        <v>118.4</v>
      </c>
      <c r="F48" s="42">
        <f>'№8 (ведомст.)'!G262</f>
        <v>118.4</v>
      </c>
    </row>
    <row r="49" spans="1:6" ht="18" customHeight="1">
      <c r="A49" s="32" t="s">
        <v>83</v>
      </c>
      <c r="B49" s="33"/>
      <c r="C49" s="33"/>
      <c r="D49" s="10" t="s">
        <v>23</v>
      </c>
      <c r="E49" s="42">
        <f>E50</f>
        <v>1000</v>
      </c>
      <c r="F49" s="42">
        <f>F50</f>
        <v>0</v>
      </c>
    </row>
    <row r="50" spans="1:6" ht="21" customHeight="1">
      <c r="A50" s="32" t="s">
        <v>83</v>
      </c>
      <c r="B50" s="4">
        <v>9900000000</v>
      </c>
      <c r="C50" s="45"/>
      <c r="D50" s="31" t="s">
        <v>9</v>
      </c>
      <c r="E50" s="42">
        <f>E52</f>
        <v>1000</v>
      </c>
      <c r="F50" s="42">
        <f>F52</f>
        <v>0</v>
      </c>
    </row>
    <row r="51" spans="1:6" ht="21" customHeight="1">
      <c r="A51" s="32" t="s">
        <v>83</v>
      </c>
      <c r="B51" s="4">
        <v>9920000000</v>
      </c>
      <c r="C51" s="45"/>
      <c r="D51" s="10" t="s">
        <v>23</v>
      </c>
      <c r="E51" s="42">
        <f>E52</f>
        <v>1000</v>
      </c>
      <c r="F51" s="42">
        <f>F52</f>
        <v>0</v>
      </c>
    </row>
    <row r="52" spans="1:6" ht="33">
      <c r="A52" s="32" t="s">
        <v>83</v>
      </c>
      <c r="B52" s="4" t="s">
        <v>309</v>
      </c>
      <c r="C52" s="9" t="s">
        <v>105</v>
      </c>
      <c r="D52" s="31" t="s">
        <v>150</v>
      </c>
      <c r="E52" s="42">
        <f>E53</f>
        <v>1000</v>
      </c>
      <c r="F52" s="42">
        <f>F53</f>
        <v>0</v>
      </c>
    </row>
    <row r="53" spans="1:6" ht="19.15" customHeight="1">
      <c r="A53" s="32" t="s">
        <v>83</v>
      </c>
      <c r="B53" s="4" t="s">
        <v>309</v>
      </c>
      <c r="C53" s="9" t="s">
        <v>109</v>
      </c>
      <c r="D53" s="31" t="s">
        <v>110</v>
      </c>
      <c r="E53" s="42">
        <f>'№8 (ведомст.)'!F267</f>
        <v>1000</v>
      </c>
      <c r="F53" s="42">
        <f>'№8 (ведомст.)'!G267</f>
        <v>0</v>
      </c>
    </row>
    <row r="54" spans="1:6" ht="21" customHeight="1">
      <c r="A54" s="32" t="s">
        <v>98</v>
      </c>
      <c r="B54" s="33"/>
      <c r="C54" s="33"/>
      <c r="D54" s="10" t="s">
        <v>58</v>
      </c>
      <c r="E54" s="42">
        <f>E55+E80+E92+E99</f>
        <v>13286.5</v>
      </c>
      <c r="F54" s="42">
        <f>F55+F80+F92+F99</f>
        <v>12466.200000000003</v>
      </c>
    </row>
    <row r="55" spans="1:6" ht="52.15" customHeight="1">
      <c r="A55" s="32" t="s">
        <v>98</v>
      </c>
      <c r="B55" s="12" t="s">
        <v>248</v>
      </c>
      <c r="C55" s="44"/>
      <c r="D55" s="30" t="s">
        <v>229</v>
      </c>
      <c r="E55" s="42">
        <f>E56+E63+E68+E72</f>
        <v>3222.8999999999996</v>
      </c>
      <c r="F55" s="42">
        <f>F56+F63+F68+F72</f>
        <v>2438.3999999999996</v>
      </c>
    </row>
    <row r="56" spans="1:6" ht="52.15" customHeight="1">
      <c r="A56" s="32" t="s">
        <v>98</v>
      </c>
      <c r="B56" s="12" t="s">
        <v>254</v>
      </c>
      <c r="C56" s="44"/>
      <c r="D56" s="10" t="s">
        <v>13</v>
      </c>
      <c r="E56" s="42">
        <f>E57+E59+E61</f>
        <v>2798.7</v>
      </c>
      <c r="F56" s="42">
        <f>F57+F59+F61</f>
        <v>2019.2</v>
      </c>
    </row>
    <row r="57" spans="1:6" ht="36" customHeight="1">
      <c r="A57" s="32" t="s">
        <v>98</v>
      </c>
      <c r="B57" s="12" t="s">
        <v>256</v>
      </c>
      <c r="C57" s="44"/>
      <c r="D57" s="10" t="s">
        <v>186</v>
      </c>
      <c r="E57" s="42">
        <f aca="true" t="shared" si="5" ref="E57:F57">E58</f>
        <v>529</v>
      </c>
      <c r="F57" s="42">
        <f t="shared" si="5"/>
        <v>483.9</v>
      </c>
    </row>
    <row r="58" spans="1:6" ht="34.15" customHeight="1">
      <c r="A58" s="32" t="s">
        <v>98</v>
      </c>
      <c r="B58" s="12" t="s">
        <v>256</v>
      </c>
      <c r="C58" s="44" t="s">
        <v>108</v>
      </c>
      <c r="D58" s="10" t="s">
        <v>454</v>
      </c>
      <c r="E58" s="42">
        <f>'№8 (ведомст.)'!F41</f>
        <v>529</v>
      </c>
      <c r="F58" s="42">
        <f>'№8 (ведомст.)'!G41</f>
        <v>483.9</v>
      </c>
    </row>
    <row r="59" spans="1:6" ht="34.15" customHeight="1">
      <c r="A59" s="32" t="s">
        <v>98</v>
      </c>
      <c r="B59" s="12" t="s">
        <v>467</v>
      </c>
      <c r="C59" s="44"/>
      <c r="D59" s="10" t="s">
        <v>468</v>
      </c>
      <c r="E59" s="42">
        <f>E60</f>
        <v>655.5999999999999</v>
      </c>
      <c r="F59" s="42">
        <f>F60</f>
        <v>257.9</v>
      </c>
    </row>
    <row r="60" spans="1:6" ht="34.15" customHeight="1">
      <c r="A60" s="32" t="s">
        <v>98</v>
      </c>
      <c r="B60" s="12" t="s">
        <v>467</v>
      </c>
      <c r="C60" s="44" t="s">
        <v>108</v>
      </c>
      <c r="D60" s="10" t="s">
        <v>454</v>
      </c>
      <c r="E60" s="42">
        <f>'№8 (ведомст.)'!F43</f>
        <v>655.5999999999999</v>
      </c>
      <c r="F60" s="42">
        <f>'№8 (ведомст.)'!G43</f>
        <v>257.9</v>
      </c>
    </row>
    <row r="61" spans="1:6" ht="82.5">
      <c r="A61" s="32" t="s">
        <v>98</v>
      </c>
      <c r="B61" s="12" t="s">
        <v>484</v>
      </c>
      <c r="C61" s="44"/>
      <c r="D61" s="10" t="s">
        <v>485</v>
      </c>
      <c r="E61" s="42">
        <f>E62</f>
        <v>1614.1</v>
      </c>
      <c r="F61" s="42">
        <f>F62</f>
        <v>1277.4</v>
      </c>
    </row>
    <row r="62" spans="1:6" ht="33">
      <c r="A62" s="32" t="s">
        <v>98</v>
      </c>
      <c r="B62" s="12" t="s">
        <v>484</v>
      </c>
      <c r="C62" s="44" t="s">
        <v>108</v>
      </c>
      <c r="D62" s="10" t="s">
        <v>454</v>
      </c>
      <c r="E62" s="42">
        <f>'№8 (ведомст.)'!F45</f>
        <v>1614.1</v>
      </c>
      <c r="F62" s="42">
        <f>'№8 (ведомст.)'!G45</f>
        <v>1277.4</v>
      </c>
    </row>
    <row r="63" spans="1:6" ht="84.6" customHeight="1">
      <c r="A63" s="32" t="s">
        <v>98</v>
      </c>
      <c r="B63" s="12" t="s">
        <v>257</v>
      </c>
      <c r="C63" s="44"/>
      <c r="D63" s="10" t="s">
        <v>187</v>
      </c>
      <c r="E63" s="42">
        <f>E64+E66</f>
        <v>75</v>
      </c>
      <c r="F63" s="42">
        <f>F64+F66</f>
        <v>75</v>
      </c>
    </row>
    <row r="64" spans="1:6" ht="42.6" customHeight="1">
      <c r="A64" s="32" t="s">
        <v>98</v>
      </c>
      <c r="B64" s="12" t="s">
        <v>258</v>
      </c>
      <c r="C64" s="44"/>
      <c r="D64" s="10" t="s">
        <v>188</v>
      </c>
      <c r="E64" s="42">
        <f>E65</f>
        <v>50</v>
      </c>
      <c r="F64" s="42">
        <f>F65</f>
        <v>50</v>
      </c>
    </row>
    <row r="65" spans="1:6" ht="21" customHeight="1">
      <c r="A65" s="32" t="s">
        <v>98</v>
      </c>
      <c r="B65" s="12" t="s">
        <v>258</v>
      </c>
      <c r="C65" s="44" t="s">
        <v>109</v>
      </c>
      <c r="D65" s="46" t="s">
        <v>110</v>
      </c>
      <c r="E65" s="42">
        <f>'№8 (ведомст.)'!F49</f>
        <v>50</v>
      </c>
      <c r="F65" s="42">
        <f>'№8 (ведомст.)'!G49</f>
        <v>50</v>
      </c>
    </row>
    <row r="66" spans="1:6" ht="49.5">
      <c r="A66" s="32" t="s">
        <v>98</v>
      </c>
      <c r="B66" s="12" t="s">
        <v>259</v>
      </c>
      <c r="C66" s="44"/>
      <c r="D66" s="10" t="s">
        <v>189</v>
      </c>
      <c r="E66" s="42">
        <f>E67</f>
        <v>25</v>
      </c>
      <c r="F66" s="42">
        <f>F67</f>
        <v>25</v>
      </c>
    </row>
    <row r="67" spans="1:6" ht="36" customHeight="1">
      <c r="A67" s="32" t="s">
        <v>98</v>
      </c>
      <c r="B67" s="12" t="s">
        <v>259</v>
      </c>
      <c r="C67" s="44" t="s">
        <v>108</v>
      </c>
      <c r="D67" s="10" t="s">
        <v>454</v>
      </c>
      <c r="E67" s="42">
        <f>'№8 (ведомст.)'!F52</f>
        <v>25</v>
      </c>
      <c r="F67" s="42">
        <f>'№8 (ведомст.)'!G52</f>
        <v>25</v>
      </c>
    </row>
    <row r="68" spans="1:6" ht="49.5">
      <c r="A68" s="32" t="s">
        <v>98</v>
      </c>
      <c r="B68" s="12" t="s">
        <v>260</v>
      </c>
      <c r="C68" s="44"/>
      <c r="D68" s="10" t="s">
        <v>183</v>
      </c>
      <c r="E68" s="42">
        <f>E69</f>
        <v>51.6</v>
      </c>
      <c r="F68" s="42">
        <f>F69</f>
        <v>51.6</v>
      </c>
    </row>
    <row r="69" spans="1:6" ht="35.45" customHeight="1">
      <c r="A69" s="32" t="s">
        <v>98</v>
      </c>
      <c r="B69" s="12" t="s">
        <v>261</v>
      </c>
      <c r="C69" s="44"/>
      <c r="D69" s="10" t="s">
        <v>185</v>
      </c>
      <c r="E69" s="42">
        <f>E71+E70</f>
        <v>51.6</v>
      </c>
      <c r="F69" s="42">
        <f>F71+F70</f>
        <v>51.6</v>
      </c>
    </row>
    <row r="70" spans="1:6" ht="37.9" customHeight="1">
      <c r="A70" s="32" t="s">
        <v>98</v>
      </c>
      <c r="B70" s="12" t="s">
        <v>261</v>
      </c>
      <c r="C70" s="44" t="s">
        <v>108</v>
      </c>
      <c r="D70" s="10" t="s">
        <v>454</v>
      </c>
      <c r="E70" s="42">
        <f>'№8 (ведомст.)'!F56</f>
        <v>36.6</v>
      </c>
      <c r="F70" s="42">
        <f>'№8 (ведомст.)'!G56</f>
        <v>36.6</v>
      </c>
    </row>
    <row r="71" spans="1:6" ht="21" customHeight="1">
      <c r="A71" s="32" t="s">
        <v>98</v>
      </c>
      <c r="B71" s="12" t="s">
        <v>261</v>
      </c>
      <c r="C71" s="16" t="s">
        <v>111</v>
      </c>
      <c r="D71" s="10" t="s">
        <v>112</v>
      </c>
      <c r="E71" s="42">
        <f>'№8 (ведомст.)'!F57</f>
        <v>15</v>
      </c>
      <c r="F71" s="42">
        <f>'№8 (ведомст.)'!G57</f>
        <v>15</v>
      </c>
    </row>
    <row r="72" spans="1:6" ht="21" customHeight="1">
      <c r="A72" s="32" t="s">
        <v>98</v>
      </c>
      <c r="B72" s="12" t="s">
        <v>249</v>
      </c>
      <c r="C72" s="44"/>
      <c r="D72" s="10" t="s">
        <v>5</v>
      </c>
      <c r="E72" s="42">
        <f>E73+E75+E78</f>
        <v>297.59999999999997</v>
      </c>
      <c r="F72" s="42">
        <f>F73+F75+F78</f>
        <v>292.6</v>
      </c>
    </row>
    <row r="73" spans="1:6" ht="52.15" customHeight="1">
      <c r="A73" s="32" t="s">
        <v>98</v>
      </c>
      <c r="B73" s="12" t="s">
        <v>252</v>
      </c>
      <c r="C73" s="44"/>
      <c r="D73" s="10" t="s">
        <v>114</v>
      </c>
      <c r="E73" s="42">
        <f>E74</f>
        <v>31.7</v>
      </c>
      <c r="F73" s="42">
        <f>F74</f>
        <v>31.6</v>
      </c>
    </row>
    <row r="74" spans="1:6" ht="70.9" customHeight="1">
      <c r="A74" s="32" t="s">
        <v>98</v>
      </c>
      <c r="B74" s="12" t="s">
        <v>252</v>
      </c>
      <c r="C74" s="44" t="s">
        <v>107</v>
      </c>
      <c r="D74" s="10" t="s">
        <v>6</v>
      </c>
      <c r="E74" s="42">
        <f>'№8 (ведомст.)'!F61</f>
        <v>31.7</v>
      </c>
      <c r="F74" s="42">
        <f>'№8 (ведомст.)'!G61</f>
        <v>31.6</v>
      </c>
    </row>
    <row r="75" spans="1:6" ht="70.15" customHeight="1">
      <c r="A75" s="32" t="s">
        <v>98</v>
      </c>
      <c r="B75" s="12" t="s">
        <v>262</v>
      </c>
      <c r="C75" s="44"/>
      <c r="D75" s="10" t="s">
        <v>228</v>
      </c>
      <c r="E75" s="42">
        <f>E76+E77</f>
        <v>264</v>
      </c>
      <c r="F75" s="42">
        <f>F76+F77</f>
        <v>260.3</v>
      </c>
    </row>
    <row r="76" spans="1:6" ht="69.6" customHeight="1">
      <c r="A76" s="32" t="s">
        <v>98</v>
      </c>
      <c r="B76" s="12" t="s">
        <v>262</v>
      </c>
      <c r="C76" s="44" t="s">
        <v>107</v>
      </c>
      <c r="D76" s="10" t="s">
        <v>6</v>
      </c>
      <c r="E76" s="42">
        <f>'№8 (ведомст.)'!F63</f>
        <v>242</v>
      </c>
      <c r="F76" s="42">
        <f>'№8 (ведомст.)'!G63</f>
        <v>242</v>
      </c>
    </row>
    <row r="77" spans="1:6" ht="35.45" customHeight="1">
      <c r="A77" s="32" t="s">
        <v>98</v>
      </c>
      <c r="B77" s="12" t="s">
        <v>262</v>
      </c>
      <c r="C77" s="44" t="s">
        <v>108</v>
      </c>
      <c r="D77" s="10" t="s">
        <v>454</v>
      </c>
      <c r="E77" s="42">
        <f>'№8 (ведомст.)'!F64</f>
        <v>22</v>
      </c>
      <c r="F77" s="42">
        <f>'№8 (ведомст.)'!G64</f>
        <v>18.3</v>
      </c>
    </row>
    <row r="78" spans="1:6" ht="66">
      <c r="A78" s="32" t="s">
        <v>98</v>
      </c>
      <c r="B78" s="12" t="s">
        <v>548</v>
      </c>
      <c r="C78" s="44"/>
      <c r="D78" s="30" t="s">
        <v>549</v>
      </c>
      <c r="E78" s="42">
        <f>E79</f>
        <v>1.9</v>
      </c>
      <c r="F78" s="42">
        <f>F79</f>
        <v>0.7</v>
      </c>
    </row>
    <row r="79" spans="1:6" ht="66">
      <c r="A79" s="32" t="s">
        <v>98</v>
      </c>
      <c r="B79" s="12" t="s">
        <v>548</v>
      </c>
      <c r="C79" s="44" t="s">
        <v>107</v>
      </c>
      <c r="D79" s="10" t="s">
        <v>6</v>
      </c>
      <c r="E79" s="42">
        <f>'№8 (ведомст.)'!F66</f>
        <v>1.9</v>
      </c>
      <c r="F79" s="42">
        <f>'№8 (ведомст.)'!G66</f>
        <v>0.7</v>
      </c>
    </row>
    <row r="80" spans="1:6" ht="49.5">
      <c r="A80" s="32" t="s">
        <v>98</v>
      </c>
      <c r="B80" s="32" t="s">
        <v>314</v>
      </c>
      <c r="C80" s="32"/>
      <c r="D80" s="30" t="s">
        <v>168</v>
      </c>
      <c r="E80" s="42">
        <f>E81+E88</f>
        <v>8238.3</v>
      </c>
      <c r="F80" s="42">
        <f>F81+F88</f>
        <v>8228.900000000001</v>
      </c>
    </row>
    <row r="81" spans="1:6" ht="33.75" customHeight="1">
      <c r="A81" s="32" t="s">
        <v>98</v>
      </c>
      <c r="B81" s="32" t="s">
        <v>315</v>
      </c>
      <c r="C81" s="32"/>
      <c r="D81" s="30" t="s">
        <v>169</v>
      </c>
      <c r="E81" s="42">
        <f>E82+E84+E86</f>
        <v>2578</v>
      </c>
      <c r="F81" s="42">
        <f>F82+F84+F86</f>
        <v>2577.7</v>
      </c>
    </row>
    <row r="82" spans="1:6" ht="33">
      <c r="A82" s="32" t="s">
        <v>98</v>
      </c>
      <c r="B82" s="32" t="s">
        <v>318</v>
      </c>
      <c r="C82" s="32"/>
      <c r="D82" s="30" t="s">
        <v>170</v>
      </c>
      <c r="E82" s="42">
        <f>E83</f>
        <v>2360</v>
      </c>
      <c r="F82" s="42">
        <f>F83</f>
        <v>2359.7</v>
      </c>
    </row>
    <row r="83" spans="1:6" ht="33">
      <c r="A83" s="32" t="s">
        <v>98</v>
      </c>
      <c r="B83" s="32" t="s">
        <v>318</v>
      </c>
      <c r="C83" s="44" t="s">
        <v>108</v>
      </c>
      <c r="D83" s="10" t="s">
        <v>454</v>
      </c>
      <c r="E83" s="42">
        <f>'№8 (ведомст.)'!F292</f>
        <v>2360</v>
      </c>
      <c r="F83" s="42">
        <f>'№8 (ведомст.)'!G292</f>
        <v>2359.7</v>
      </c>
    </row>
    <row r="84" spans="1:6" ht="33">
      <c r="A84" s="32" t="s">
        <v>98</v>
      </c>
      <c r="B84" s="32" t="s">
        <v>319</v>
      </c>
      <c r="C84" s="32"/>
      <c r="D84" s="30" t="s">
        <v>171</v>
      </c>
      <c r="E84" s="42">
        <f>E85</f>
        <v>98</v>
      </c>
      <c r="F84" s="42">
        <f>F85</f>
        <v>98</v>
      </c>
    </row>
    <row r="85" spans="1:6" ht="33">
      <c r="A85" s="32" t="s">
        <v>98</v>
      </c>
      <c r="B85" s="32" t="s">
        <v>319</v>
      </c>
      <c r="C85" s="44" t="s">
        <v>108</v>
      </c>
      <c r="D85" s="10" t="s">
        <v>454</v>
      </c>
      <c r="E85" s="42">
        <f>'№8 (ведомст.)'!F294</f>
        <v>98</v>
      </c>
      <c r="F85" s="42">
        <f>'№8 (ведомст.)'!G294</f>
        <v>98</v>
      </c>
    </row>
    <row r="86" spans="1:6" ht="33">
      <c r="A86" s="32" t="s">
        <v>98</v>
      </c>
      <c r="B86" s="32" t="s">
        <v>510</v>
      </c>
      <c r="C86" s="32"/>
      <c r="D86" s="30" t="s">
        <v>511</v>
      </c>
      <c r="E86" s="42">
        <f>E87</f>
        <v>120</v>
      </c>
      <c r="F86" s="42">
        <f>F87</f>
        <v>120</v>
      </c>
    </row>
    <row r="87" spans="1:6" ht="33">
      <c r="A87" s="32" t="s">
        <v>98</v>
      </c>
      <c r="B87" s="32" t="s">
        <v>510</v>
      </c>
      <c r="C87" s="44" t="s">
        <v>108</v>
      </c>
      <c r="D87" s="10" t="s">
        <v>454</v>
      </c>
      <c r="E87" s="42">
        <f>'№8 (ведомст.)'!F295</f>
        <v>120</v>
      </c>
      <c r="F87" s="42">
        <f>'№8 (ведомст.)'!G295</f>
        <v>120</v>
      </c>
    </row>
    <row r="88" spans="1:6" ht="21" customHeight="1">
      <c r="A88" s="32" t="s">
        <v>98</v>
      </c>
      <c r="B88" s="9" t="s">
        <v>320</v>
      </c>
      <c r="C88" s="9"/>
      <c r="D88" s="31" t="s">
        <v>5</v>
      </c>
      <c r="E88" s="42">
        <f>E89</f>
        <v>5660.3</v>
      </c>
      <c r="F88" s="42">
        <f>F89</f>
        <v>5651.200000000001</v>
      </c>
    </row>
    <row r="89" spans="1:6" ht="66">
      <c r="A89" s="32" t="s">
        <v>98</v>
      </c>
      <c r="B89" s="32" t="s">
        <v>317</v>
      </c>
      <c r="C89" s="9"/>
      <c r="D89" s="31" t="s">
        <v>113</v>
      </c>
      <c r="E89" s="42">
        <f>E90+E91</f>
        <v>5660.3</v>
      </c>
      <c r="F89" s="42">
        <f>F90+F91</f>
        <v>5651.200000000001</v>
      </c>
    </row>
    <row r="90" spans="1:6" ht="66">
      <c r="A90" s="32" t="s">
        <v>98</v>
      </c>
      <c r="B90" s="32" t="s">
        <v>317</v>
      </c>
      <c r="C90" s="44" t="s">
        <v>107</v>
      </c>
      <c r="D90" s="10" t="s">
        <v>6</v>
      </c>
      <c r="E90" s="42">
        <f>'№8 (ведомст.)'!F300</f>
        <v>5247.3</v>
      </c>
      <c r="F90" s="42">
        <f>'№8 (ведомст.)'!G300</f>
        <v>5247.1</v>
      </c>
    </row>
    <row r="91" spans="1:6" ht="36" customHeight="1">
      <c r="A91" s="32" t="s">
        <v>98</v>
      </c>
      <c r="B91" s="32" t="s">
        <v>317</v>
      </c>
      <c r="C91" s="44" t="s">
        <v>108</v>
      </c>
      <c r="D91" s="10" t="s">
        <v>454</v>
      </c>
      <c r="E91" s="42">
        <f>'№8 (ведомст.)'!F301</f>
        <v>413</v>
      </c>
      <c r="F91" s="42">
        <f>'№8 (ведомст.)'!G301</f>
        <v>404.1</v>
      </c>
    </row>
    <row r="92" spans="1:6" ht="46.15" customHeight="1">
      <c r="A92" s="32" t="s">
        <v>98</v>
      </c>
      <c r="B92" s="9" t="s">
        <v>306</v>
      </c>
      <c r="C92" s="44"/>
      <c r="D92" s="10" t="s">
        <v>14</v>
      </c>
      <c r="E92" s="42">
        <f>E93+E96</f>
        <v>991.5999999999999</v>
      </c>
      <c r="F92" s="42">
        <f>F93+F96</f>
        <v>965.2</v>
      </c>
    </row>
    <row r="93" spans="1:6" ht="33">
      <c r="A93" s="32" t="s">
        <v>98</v>
      </c>
      <c r="B93" s="9" t="s">
        <v>310</v>
      </c>
      <c r="C93" s="44"/>
      <c r="D93" s="10" t="s">
        <v>224</v>
      </c>
      <c r="E93" s="42">
        <f aca="true" t="shared" si="6" ref="E93:F94">E94</f>
        <v>959.0999999999999</v>
      </c>
      <c r="F93" s="42">
        <f t="shared" si="6"/>
        <v>959.1</v>
      </c>
    </row>
    <row r="94" spans="1:6" ht="49.5">
      <c r="A94" s="32" t="s">
        <v>98</v>
      </c>
      <c r="B94" s="9" t="s">
        <v>311</v>
      </c>
      <c r="C94" s="9"/>
      <c r="D94" s="31" t="s">
        <v>227</v>
      </c>
      <c r="E94" s="42">
        <f t="shared" si="6"/>
        <v>959.0999999999999</v>
      </c>
      <c r="F94" s="42">
        <f t="shared" si="6"/>
        <v>959.1</v>
      </c>
    </row>
    <row r="95" spans="1:6" ht="34.15" customHeight="1">
      <c r="A95" s="32" t="s">
        <v>98</v>
      </c>
      <c r="B95" s="9" t="s">
        <v>311</v>
      </c>
      <c r="C95" s="44" t="s">
        <v>108</v>
      </c>
      <c r="D95" s="10" t="s">
        <v>454</v>
      </c>
      <c r="E95" s="42">
        <f>'№8 (ведомст.)'!F273</f>
        <v>959.0999999999999</v>
      </c>
      <c r="F95" s="42">
        <f>'№8 (ведомст.)'!G273</f>
        <v>959.1</v>
      </c>
    </row>
    <row r="96" spans="1:6" ht="20.45" customHeight="1">
      <c r="A96" s="32" t="s">
        <v>98</v>
      </c>
      <c r="B96" s="9" t="s">
        <v>312</v>
      </c>
      <c r="C96" s="9"/>
      <c r="D96" s="31" t="s">
        <v>148</v>
      </c>
      <c r="E96" s="42">
        <f aca="true" t="shared" si="7" ref="E96:F97">E97</f>
        <v>32.5</v>
      </c>
      <c r="F96" s="42">
        <f t="shared" si="7"/>
        <v>6.1</v>
      </c>
    </row>
    <row r="97" spans="1:6" ht="41.45" customHeight="1">
      <c r="A97" s="32" t="s">
        <v>98</v>
      </c>
      <c r="B97" s="9" t="s">
        <v>313</v>
      </c>
      <c r="C97" s="9"/>
      <c r="D97" s="31" t="s">
        <v>149</v>
      </c>
      <c r="E97" s="42">
        <f t="shared" si="7"/>
        <v>32.5</v>
      </c>
      <c r="F97" s="42">
        <f t="shared" si="7"/>
        <v>6.1</v>
      </c>
    </row>
    <row r="98" spans="1:6" ht="33">
      <c r="A98" s="32" t="s">
        <v>98</v>
      </c>
      <c r="B98" s="9" t="s">
        <v>313</v>
      </c>
      <c r="C98" s="44" t="s">
        <v>108</v>
      </c>
      <c r="D98" s="10" t="s">
        <v>454</v>
      </c>
      <c r="E98" s="42">
        <f>'№8 (ведомст.)'!F277</f>
        <v>32.5</v>
      </c>
      <c r="F98" s="42">
        <f>'№8 (ведомст.)'!G277</f>
        <v>6.1</v>
      </c>
    </row>
    <row r="99" spans="1:6" ht="12.75">
      <c r="A99" s="32" t="s">
        <v>98</v>
      </c>
      <c r="B99" s="4">
        <v>9900000000</v>
      </c>
      <c r="C99" s="45"/>
      <c r="D99" s="31" t="s">
        <v>9</v>
      </c>
      <c r="E99" s="42">
        <f aca="true" t="shared" si="8" ref="E99:F101">E100</f>
        <v>833.7</v>
      </c>
      <c r="F99" s="42">
        <f t="shared" si="8"/>
        <v>833.7</v>
      </c>
    </row>
    <row r="100" spans="1:6" ht="33">
      <c r="A100" s="32" t="s">
        <v>98</v>
      </c>
      <c r="B100" s="4">
        <v>9940000000</v>
      </c>
      <c r="C100" s="44"/>
      <c r="D100" s="10" t="s">
        <v>477</v>
      </c>
      <c r="E100" s="42">
        <f t="shared" si="8"/>
        <v>833.7</v>
      </c>
      <c r="F100" s="42">
        <f t="shared" si="8"/>
        <v>833.7</v>
      </c>
    </row>
    <row r="101" spans="1:6" ht="12.75">
      <c r="A101" s="32" t="s">
        <v>98</v>
      </c>
      <c r="B101" s="4" t="s">
        <v>478</v>
      </c>
      <c r="C101" s="44"/>
      <c r="D101" s="10" t="s">
        <v>479</v>
      </c>
      <c r="E101" s="42">
        <f t="shared" si="8"/>
        <v>833.7</v>
      </c>
      <c r="F101" s="42">
        <f t="shared" si="8"/>
        <v>833.7</v>
      </c>
    </row>
    <row r="102" spans="1:6" ht="12.75">
      <c r="A102" s="32" t="s">
        <v>98</v>
      </c>
      <c r="B102" s="4" t="s">
        <v>478</v>
      </c>
      <c r="C102" s="44" t="s">
        <v>109</v>
      </c>
      <c r="D102" s="46" t="s">
        <v>110</v>
      </c>
      <c r="E102" s="42">
        <f>'№8 (ведомст.)'!F70+'№8 (ведомст.)'!F305+'№8 (ведомст.)'!F347</f>
        <v>833.7</v>
      </c>
      <c r="F102" s="42">
        <f>'№8 (ведомст.)'!G70+'№8 (ведомст.)'!G305+'№8 (ведомст.)'!G347</f>
        <v>833.7</v>
      </c>
    </row>
    <row r="103" spans="1:6" s="56" customFormat="1" ht="20.45" customHeight="1">
      <c r="A103" s="33" t="s">
        <v>93</v>
      </c>
      <c r="B103" s="33"/>
      <c r="C103" s="33"/>
      <c r="D103" s="34" t="s">
        <v>59</v>
      </c>
      <c r="E103" s="52">
        <f>E104+E112</f>
        <v>7768.2</v>
      </c>
      <c r="F103" s="52">
        <f>F104+F112</f>
        <v>7768</v>
      </c>
    </row>
    <row r="104" spans="1:6" ht="12.75">
      <c r="A104" s="32" t="s">
        <v>115</v>
      </c>
      <c r="B104" s="12"/>
      <c r="C104" s="44"/>
      <c r="D104" s="10" t="s">
        <v>116</v>
      </c>
      <c r="E104" s="42">
        <f aca="true" t="shared" si="9" ref="E104:F105">E105</f>
        <v>1361.3</v>
      </c>
      <c r="F104" s="42">
        <f t="shared" si="9"/>
        <v>1361.1</v>
      </c>
    </row>
    <row r="105" spans="1:6" ht="49.5">
      <c r="A105" s="32" t="s">
        <v>115</v>
      </c>
      <c r="B105" s="12" t="s">
        <v>248</v>
      </c>
      <c r="C105" s="44"/>
      <c r="D105" s="30" t="s">
        <v>229</v>
      </c>
      <c r="E105" s="42">
        <f t="shared" si="9"/>
        <v>1361.3</v>
      </c>
      <c r="F105" s="42">
        <f t="shared" si="9"/>
        <v>1361.1</v>
      </c>
    </row>
    <row r="106" spans="1:6" ht="20.25" customHeight="1">
      <c r="A106" s="32" t="s">
        <v>115</v>
      </c>
      <c r="B106" s="12" t="s">
        <v>249</v>
      </c>
      <c r="C106" s="44"/>
      <c r="D106" s="10" t="s">
        <v>5</v>
      </c>
      <c r="E106" s="42">
        <f>E107+E109</f>
        <v>1361.3</v>
      </c>
      <c r="F106" s="42">
        <f>F107+F109</f>
        <v>1361.1</v>
      </c>
    </row>
    <row r="107" spans="1:6" ht="53.45" customHeight="1">
      <c r="A107" s="32" t="s">
        <v>115</v>
      </c>
      <c r="B107" s="12" t="s">
        <v>252</v>
      </c>
      <c r="C107" s="44"/>
      <c r="D107" s="10" t="s">
        <v>114</v>
      </c>
      <c r="E107" s="42">
        <f>E108</f>
        <v>155.29999999999998</v>
      </c>
      <c r="F107" s="42">
        <f>F108</f>
        <v>155.1</v>
      </c>
    </row>
    <row r="108" spans="1:6" ht="71.45" customHeight="1">
      <c r="A108" s="32" t="s">
        <v>115</v>
      </c>
      <c r="B108" s="12" t="s">
        <v>252</v>
      </c>
      <c r="C108" s="44" t="s">
        <v>107</v>
      </c>
      <c r="D108" s="10" t="s">
        <v>6</v>
      </c>
      <c r="E108" s="42">
        <f>'№8 (ведомст.)'!F77</f>
        <v>155.29999999999998</v>
      </c>
      <c r="F108" s="42">
        <f>'№8 (ведомст.)'!G77</f>
        <v>155.1</v>
      </c>
    </row>
    <row r="109" spans="1:6" ht="33">
      <c r="A109" s="32" t="s">
        <v>115</v>
      </c>
      <c r="B109" s="12" t="s">
        <v>263</v>
      </c>
      <c r="C109" s="44"/>
      <c r="D109" s="10" t="s">
        <v>369</v>
      </c>
      <c r="E109" s="42">
        <f>E110+E111</f>
        <v>1206</v>
      </c>
      <c r="F109" s="42">
        <f>F110+F111</f>
        <v>1206</v>
      </c>
    </row>
    <row r="110" spans="1:6" ht="71.45" customHeight="1">
      <c r="A110" s="32" t="s">
        <v>115</v>
      </c>
      <c r="B110" s="12" t="s">
        <v>263</v>
      </c>
      <c r="C110" s="44" t="s">
        <v>107</v>
      </c>
      <c r="D110" s="10" t="s">
        <v>6</v>
      </c>
      <c r="E110" s="42">
        <f>'№8 (ведомст.)'!F79</f>
        <v>1205.6</v>
      </c>
      <c r="F110" s="42">
        <f>'№8 (ведомст.)'!G79</f>
        <v>1205.6</v>
      </c>
    </row>
    <row r="111" spans="1:6" ht="33">
      <c r="A111" s="32" t="s">
        <v>115</v>
      </c>
      <c r="B111" s="12" t="s">
        <v>263</v>
      </c>
      <c r="C111" s="44" t="s">
        <v>108</v>
      </c>
      <c r="D111" s="10" t="s">
        <v>454</v>
      </c>
      <c r="E111" s="42">
        <f>'№8 (ведомст.)'!F80</f>
        <v>0.4</v>
      </c>
      <c r="F111" s="42">
        <f>'№8 (ведомст.)'!G80</f>
        <v>0.4</v>
      </c>
    </row>
    <row r="112" spans="1:6" ht="35.45" customHeight="1">
      <c r="A112" s="32" t="s">
        <v>84</v>
      </c>
      <c r="B112" s="12"/>
      <c r="C112" s="44"/>
      <c r="D112" s="10" t="s">
        <v>32</v>
      </c>
      <c r="E112" s="42">
        <f aca="true" t="shared" si="10" ref="E112:F115">E113</f>
        <v>6406.9</v>
      </c>
      <c r="F112" s="42">
        <f t="shared" si="10"/>
        <v>6406.9</v>
      </c>
    </row>
    <row r="113" spans="1:6" ht="51" customHeight="1">
      <c r="A113" s="32" t="s">
        <v>84</v>
      </c>
      <c r="B113" s="12" t="s">
        <v>248</v>
      </c>
      <c r="C113" s="44"/>
      <c r="D113" s="30" t="s">
        <v>229</v>
      </c>
      <c r="E113" s="42">
        <f t="shared" si="10"/>
        <v>6406.9</v>
      </c>
      <c r="F113" s="42">
        <f t="shared" si="10"/>
        <v>6406.9</v>
      </c>
    </row>
    <row r="114" spans="1:6" ht="33">
      <c r="A114" s="32" t="s">
        <v>84</v>
      </c>
      <c r="B114" s="12" t="s">
        <v>264</v>
      </c>
      <c r="C114" s="44"/>
      <c r="D114" s="10" t="s">
        <v>190</v>
      </c>
      <c r="E114" s="42">
        <f t="shared" si="10"/>
        <v>6406.9</v>
      </c>
      <c r="F114" s="42">
        <f t="shared" si="10"/>
        <v>6406.9</v>
      </c>
    </row>
    <row r="115" spans="1:6" ht="36.6" customHeight="1">
      <c r="A115" s="32" t="s">
        <v>84</v>
      </c>
      <c r="B115" s="12" t="s">
        <v>265</v>
      </c>
      <c r="C115" s="44"/>
      <c r="D115" s="10" t="s">
        <v>191</v>
      </c>
      <c r="E115" s="42">
        <f t="shared" si="10"/>
        <v>6406.9</v>
      </c>
      <c r="F115" s="42">
        <f t="shared" si="10"/>
        <v>6406.9</v>
      </c>
    </row>
    <row r="116" spans="1:6" ht="33">
      <c r="A116" s="32" t="s">
        <v>84</v>
      </c>
      <c r="B116" s="12" t="s">
        <v>265</v>
      </c>
      <c r="C116" s="16">
        <v>600</v>
      </c>
      <c r="D116" s="10" t="s">
        <v>131</v>
      </c>
      <c r="E116" s="42">
        <f>'№8 (ведомст.)'!F86</f>
        <v>6406.9</v>
      </c>
      <c r="F116" s="42">
        <f>'№8 (ведомст.)'!G86</f>
        <v>6406.9</v>
      </c>
    </row>
    <row r="117" spans="1:6" s="56" customFormat="1" ht="19.15" customHeight="1">
      <c r="A117" s="33" t="s">
        <v>94</v>
      </c>
      <c r="B117" s="33"/>
      <c r="C117" s="33"/>
      <c r="D117" s="34" t="s">
        <v>60</v>
      </c>
      <c r="E117" s="52">
        <f>E118+E128+E148+E123</f>
        <v>50000.4</v>
      </c>
      <c r="F117" s="52">
        <f>F118+F128+F148+F123</f>
        <v>49774.4</v>
      </c>
    </row>
    <row r="118" spans="1:6" ht="22.15" customHeight="1">
      <c r="A118" s="32" t="s">
        <v>211</v>
      </c>
      <c r="B118" s="12"/>
      <c r="C118" s="16"/>
      <c r="D118" s="41" t="s">
        <v>212</v>
      </c>
      <c r="E118" s="42">
        <f aca="true" t="shared" si="11" ref="E118:F121">E119</f>
        <v>250.9</v>
      </c>
      <c r="F118" s="42">
        <f t="shared" si="11"/>
        <v>250.9</v>
      </c>
    </row>
    <row r="119" spans="1:6" ht="49.5">
      <c r="A119" s="32" t="s">
        <v>211</v>
      </c>
      <c r="B119" s="12" t="s">
        <v>266</v>
      </c>
      <c r="C119" s="16"/>
      <c r="D119" s="10" t="s">
        <v>203</v>
      </c>
      <c r="E119" s="42">
        <f t="shared" si="11"/>
        <v>250.9</v>
      </c>
      <c r="F119" s="42">
        <f t="shared" si="11"/>
        <v>250.9</v>
      </c>
    </row>
    <row r="120" spans="1:6" ht="37.15" customHeight="1">
      <c r="A120" s="32" t="s">
        <v>211</v>
      </c>
      <c r="B120" s="12" t="s">
        <v>267</v>
      </c>
      <c r="C120" s="16"/>
      <c r="D120" s="10" t="s">
        <v>204</v>
      </c>
      <c r="E120" s="42">
        <f t="shared" si="11"/>
        <v>250.9</v>
      </c>
      <c r="F120" s="42">
        <f t="shared" si="11"/>
        <v>250.9</v>
      </c>
    </row>
    <row r="121" spans="1:6" ht="86.45" customHeight="1">
      <c r="A121" s="32" t="s">
        <v>211</v>
      </c>
      <c r="B121" s="12" t="s">
        <v>268</v>
      </c>
      <c r="C121" s="16"/>
      <c r="D121" s="10" t="s">
        <v>213</v>
      </c>
      <c r="E121" s="42">
        <f t="shared" si="11"/>
        <v>250.9</v>
      </c>
      <c r="F121" s="42">
        <f t="shared" si="11"/>
        <v>250.9</v>
      </c>
    </row>
    <row r="122" spans="1:6" ht="33">
      <c r="A122" s="32" t="s">
        <v>211</v>
      </c>
      <c r="B122" s="12" t="s">
        <v>268</v>
      </c>
      <c r="C122" s="44" t="s">
        <v>108</v>
      </c>
      <c r="D122" s="10" t="s">
        <v>454</v>
      </c>
      <c r="E122" s="42">
        <f>'№8 (ведомст.)'!F93</f>
        <v>250.9</v>
      </c>
      <c r="F122" s="42">
        <f>'№8 (ведомст.)'!G93</f>
        <v>250.9</v>
      </c>
    </row>
    <row r="123" spans="1:6" ht="12.75">
      <c r="A123" s="32" t="s">
        <v>461</v>
      </c>
      <c r="B123" s="12"/>
      <c r="C123" s="44"/>
      <c r="D123" s="10" t="s">
        <v>462</v>
      </c>
      <c r="E123" s="42">
        <f aca="true" t="shared" si="12" ref="E123:F126">E124</f>
        <v>24</v>
      </c>
      <c r="F123" s="42">
        <f t="shared" si="12"/>
        <v>24</v>
      </c>
    </row>
    <row r="124" spans="1:6" ht="49.5">
      <c r="A124" s="32" t="s">
        <v>461</v>
      </c>
      <c r="B124" s="12" t="s">
        <v>269</v>
      </c>
      <c r="C124" s="16"/>
      <c r="D124" s="10" t="s">
        <v>192</v>
      </c>
      <c r="E124" s="42">
        <f t="shared" si="12"/>
        <v>24</v>
      </c>
      <c r="F124" s="42">
        <f t="shared" si="12"/>
        <v>24</v>
      </c>
    </row>
    <row r="125" spans="1:6" ht="43.9" customHeight="1">
      <c r="A125" s="32" t="s">
        <v>461</v>
      </c>
      <c r="B125" s="12" t="s">
        <v>275</v>
      </c>
      <c r="C125" s="44"/>
      <c r="D125" s="10" t="s">
        <v>241</v>
      </c>
      <c r="E125" s="42">
        <f t="shared" si="12"/>
        <v>24</v>
      </c>
      <c r="F125" s="42">
        <f t="shared" si="12"/>
        <v>24</v>
      </c>
    </row>
    <row r="126" spans="1:6" ht="49.5">
      <c r="A126" s="32" t="s">
        <v>461</v>
      </c>
      <c r="B126" s="12" t="s">
        <v>465</v>
      </c>
      <c r="C126" s="44"/>
      <c r="D126" s="10" t="s">
        <v>466</v>
      </c>
      <c r="E126" s="42">
        <f t="shared" si="12"/>
        <v>24</v>
      </c>
      <c r="F126" s="42">
        <f t="shared" si="12"/>
        <v>24</v>
      </c>
    </row>
    <row r="127" spans="1:6" ht="33">
      <c r="A127" s="32" t="s">
        <v>461</v>
      </c>
      <c r="B127" s="12" t="s">
        <v>465</v>
      </c>
      <c r="C127" s="44" t="s">
        <v>108</v>
      </c>
      <c r="D127" s="10" t="s">
        <v>454</v>
      </c>
      <c r="E127" s="42">
        <f>'№8 (ведомст.)'!F99</f>
        <v>24</v>
      </c>
      <c r="F127" s="42">
        <f>'№8 (ведомст.)'!G99</f>
        <v>24</v>
      </c>
    </row>
    <row r="128" spans="1:6" ht="22.15" customHeight="1">
      <c r="A128" s="32" t="s">
        <v>19</v>
      </c>
      <c r="B128" s="12"/>
      <c r="C128" s="16"/>
      <c r="D128" s="66" t="s">
        <v>20</v>
      </c>
      <c r="E128" s="42">
        <f>E129</f>
        <v>49130.6</v>
      </c>
      <c r="F128" s="42">
        <f>F129</f>
        <v>48938.1</v>
      </c>
    </row>
    <row r="129" spans="1:6" ht="55.9" customHeight="1">
      <c r="A129" s="32" t="s">
        <v>19</v>
      </c>
      <c r="B129" s="12" t="s">
        <v>269</v>
      </c>
      <c r="C129" s="16"/>
      <c r="D129" s="10" t="s">
        <v>192</v>
      </c>
      <c r="E129" s="42">
        <f>E130+E143</f>
        <v>49130.6</v>
      </c>
      <c r="F129" s="42">
        <f>F130+F143</f>
        <v>48938.1</v>
      </c>
    </row>
    <row r="130" spans="1:6" ht="52.9" customHeight="1">
      <c r="A130" s="32" t="s">
        <v>19</v>
      </c>
      <c r="B130" s="12" t="s">
        <v>270</v>
      </c>
      <c r="C130" s="16"/>
      <c r="D130" s="10" t="s">
        <v>193</v>
      </c>
      <c r="E130" s="42">
        <f>E131+E135+E133+E137+E139+E141</f>
        <v>46795</v>
      </c>
      <c r="F130" s="42">
        <f>F131+F135+F133+F137+F139+F141</f>
        <v>46602.5</v>
      </c>
    </row>
    <row r="131" spans="1:6" ht="53.45" customHeight="1">
      <c r="A131" s="32" t="s">
        <v>19</v>
      </c>
      <c r="B131" s="12" t="s">
        <v>271</v>
      </c>
      <c r="C131" s="16"/>
      <c r="D131" s="10" t="s">
        <v>194</v>
      </c>
      <c r="E131" s="42">
        <f>E132</f>
        <v>17192.500000000004</v>
      </c>
      <c r="F131" s="42">
        <f>F132</f>
        <v>17192.5</v>
      </c>
    </row>
    <row r="132" spans="1:6" ht="35.45" customHeight="1">
      <c r="A132" s="32" t="s">
        <v>19</v>
      </c>
      <c r="B132" s="12" t="s">
        <v>271</v>
      </c>
      <c r="C132" s="44" t="s">
        <v>108</v>
      </c>
      <c r="D132" s="10" t="s">
        <v>454</v>
      </c>
      <c r="E132" s="42">
        <f>'№8 (ведомст.)'!F105</f>
        <v>17192.500000000004</v>
      </c>
      <c r="F132" s="42">
        <f>'№8 (ведомст.)'!G105</f>
        <v>17192.5</v>
      </c>
    </row>
    <row r="133" spans="1:6" ht="49.5">
      <c r="A133" s="32" t="s">
        <v>19</v>
      </c>
      <c r="B133" s="12" t="s">
        <v>272</v>
      </c>
      <c r="C133" s="44"/>
      <c r="D133" s="10" t="s">
        <v>243</v>
      </c>
      <c r="E133" s="42">
        <f>E134</f>
        <v>2387.5</v>
      </c>
      <c r="F133" s="42">
        <f>F134</f>
        <v>2387.5</v>
      </c>
    </row>
    <row r="134" spans="1:6" ht="33">
      <c r="A134" s="32" t="s">
        <v>19</v>
      </c>
      <c r="B134" s="12" t="s">
        <v>272</v>
      </c>
      <c r="C134" s="44" t="s">
        <v>108</v>
      </c>
      <c r="D134" s="10" t="s">
        <v>454</v>
      </c>
      <c r="E134" s="42">
        <f>'№8 (ведомст.)'!F108</f>
        <v>2387.5</v>
      </c>
      <c r="F134" s="42">
        <f>'№8 (ведомст.)'!G108</f>
        <v>2387.5</v>
      </c>
    </row>
    <row r="135" spans="1:6" ht="33">
      <c r="A135" s="32" t="s">
        <v>19</v>
      </c>
      <c r="B135" s="12" t="s">
        <v>273</v>
      </c>
      <c r="C135" s="44"/>
      <c r="D135" s="10" t="s">
        <v>234</v>
      </c>
      <c r="E135" s="42">
        <f>E136</f>
        <v>12089.199999999999</v>
      </c>
      <c r="F135" s="42">
        <f>F136</f>
        <v>12089.2</v>
      </c>
    </row>
    <row r="136" spans="1:6" ht="33">
      <c r="A136" s="32" t="s">
        <v>19</v>
      </c>
      <c r="B136" s="12" t="s">
        <v>273</v>
      </c>
      <c r="C136" s="44" t="s">
        <v>108</v>
      </c>
      <c r="D136" s="10" t="s">
        <v>454</v>
      </c>
      <c r="E136" s="42">
        <f>'№8 (ведомст.)'!F110</f>
        <v>12089.199999999999</v>
      </c>
      <c r="F136" s="42">
        <f>'№8 (ведомст.)'!G110</f>
        <v>12089.2</v>
      </c>
    </row>
    <row r="137" spans="1:6" ht="49.5">
      <c r="A137" s="32" t="s">
        <v>19</v>
      </c>
      <c r="B137" s="12" t="s">
        <v>274</v>
      </c>
      <c r="C137" s="44"/>
      <c r="D137" s="10" t="s">
        <v>244</v>
      </c>
      <c r="E137" s="42">
        <f>E138</f>
        <v>4456.3</v>
      </c>
      <c r="F137" s="42">
        <f>F138</f>
        <v>4426.5</v>
      </c>
    </row>
    <row r="138" spans="1:6" ht="33">
      <c r="A138" s="32" t="s">
        <v>19</v>
      </c>
      <c r="B138" s="12" t="s">
        <v>274</v>
      </c>
      <c r="C138" s="44" t="s">
        <v>108</v>
      </c>
      <c r="D138" s="10" t="s">
        <v>454</v>
      </c>
      <c r="E138" s="42">
        <f>'№8 (ведомст.)'!F112</f>
        <v>4456.3</v>
      </c>
      <c r="F138" s="42">
        <f>'№8 (ведомст.)'!G112</f>
        <v>4426.5</v>
      </c>
    </row>
    <row r="139" spans="1:6" ht="49.5">
      <c r="A139" s="32" t="s">
        <v>19</v>
      </c>
      <c r="B139" s="12" t="s">
        <v>363</v>
      </c>
      <c r="C139" s="44"/>
      <c r="D139" s="10" t="s">
        <v>364</v>
      </c>
      <c r="E139" s="42">
        <f>E140</f>
        <v>10506.8</v>
      </c>
      <c r="F139" s="42">
        <f>F140</f>
        <v>10506.8</v>
      </c>
    </row>
    <row r="140" spans="1:6" ht="33">
      <c r="A140" s="32" t="s">
        <v>19</v>
      </c>
      <c r="B140" s="12" t="s">
        <v>363</v>
      </c>
      <c r="C140" s="44" t="s">
        <v>108</v>
      </c>
      <c r="D140" s="10" t="s">
        <v>454</v>
      </c>
      <c r="E140" s="42">
        <f>'№8 (ведомст.)'!F115</f>
        <v>10506.8</v>
      </c>
      <c r="F140" s="42">
        <f>'№8 (ведомст.)'!G115</f>
        <v>10506.8</v>
      </c>
    </row>
    <row r="141" spans="1:6" ht="33">
      <c r="A141" s="32" t="s">
        <v>19</v>
      </c>
      <c r="B141" s="12" t="s">
        <v>532</v>
      </c>
      <c r="C141" s="44"/>
      <c r="D141" s="10" t="s">
        <v>533</v>
      </c>
      <c r="E141" s="42">
        <f>E142</f>
        <v>162.7</v>
      </c>
      <c r="F141" s="42">
        <f>F142</f>
        <v>0</v>
      </c>
    </row>
    <row r="142" spans="1:6" ht="33">
      <c r="A142" s="32" t="s">
        <v>19</v>
      </c>
      <c r="B142" s="12" t="s">
        <v>532</v>
      </c>
      <c r="C142" s="44" t="s">
        <v>108</v>
      </c>
      <c r="D142" s="10" t="s">
        <v>454</v>
      </c>
      <c r="E142" s="42">
        <f>'№8 (ведомст.)'!F118</f>
        <v>162.7</v>
      </c>
      <c r="F142" s="42">
        <f>'№8 (ведомст.)'!G118</f>
        <v>0</v>
      </c>
    </row>
    <row r="143" spans="1:6" ht="33">
      <c r="A143" s="32" t="s">
        <v>19</v>
      </c>
      <c r="B143" s="12" t="s">
        <v>275</v>
      </c>
      <c r="C143" s="44"/>
      <c r="D143" s="10" t="s">
        <v>241</v>
      </c>
      <c r="E143" s="42">
        <f>E144+E146</f>
        <v>2335.6</v>
      </c>
      <c r="F143" s="42">
        <f>F144+F146</f>
        <v>2335.6</v>
      </c>
    </row>
    <row r="144" spans="1:6" ht="33">
      <c r="A144" s="32" t="s">
        <v>19</v>
      </c>
      <c r="B144" s="12" t="s">
        <v>276</v>
      </c>
      <c r="C144" s="44"/>
      <c r="D144" s="10" t="s">
        <v>242</v>
      </c>
      <c r="E144" s="42">
        <f>E145</f>
        <v>2200</v>
      </c>
      <c r="F144" s="42">
        <f>F145</f>
        <v>2200</v>
      </c>
    </row>
    <row r="145" spans="1:6" ht="33">
      <c r="A145" s="32" t="s">
        <v>19</v>
      </c>
      <c r="B145" s="12" t="s">
        <v>276</v>
      </c>
      <c r="C145" s="44" t="s">
        <v>108</v>
      </c>
      <c r="D145" s="10" t="s">
        <v>454</v>
      </c>
      <c r="E145" s="42">
        <f>'№8 (ведомст.)'!F122</f>
        <v>2200</v>
      </c>
      <c r="F145" s="42">
        <f>'№8 (ведомст.)'!G122</f>
        <v>2200</v>
      </c>
    </row>
    <row r="146" spans="1:6" ht="12.75">
      <c r="A146" s="32" t="s">
        <v>19</v>
      </c>
      <c r="B146" s="12" t="s">
        <v>547</v>
      </c>
      <c r="C146" s="44"/>
      <c r="D146" s="10" t="s">
        <v>546</v>
      </c>
      <c r="E146" s="42">
        <f>E147</f>
        <v>135.6</v>
      </c>
      <c r="F146" s="42">
        <f>F147</f>
        <v>135.6</v>
      </c>
    </row>
    <row r="147" spans="1:6" ht="33">
      <c r="A147" s="32" t="s">
        <v>19</v>
      </c>
      <c r="B147" s="12" t="s">
        <v>547</v>
      </c>
      <c r="C147" s="44" t="s">
        <v>108</v>
      </c>
      <c r="D147" s="10" t="s">
        <v>454</v>
      </c>
      <c r="E147" s="42">
        <f>'№8 (ведомст.)'!F124</f>
        <v>135.6</v>
      </c>
      <c r="F147" s="42">
        <f>'№8 (ведомст.)'!G124</f>
        <v>135.6</v>
      </c>
    </row>
    <row r="148" spans="1:6" ht="21.6" customHeight="1">
      <c r="A148" s="32" t="s">
        <v>85</v>
      </c>
      <c r="B148" s="12"/>
      <c r="C148" s="16"/>
      <c r="D148" s="10" t="s">
        <v>61</v>
      </c>
      <c r="E148" s="42">
        <f>E149+E162</f>
        <v>594.9</v>
      </c>
      <c r="F148" s="42">
        <f>F149+F162</f>
        <v>561.4</v>
      </c>
    </row>
    <row r="149" spans="1:6" ht="54.6" customHeight="1">
      <c r="A149" s="32" t="s">
        <v>85</v>
      </c>
      <c r="B149" s="12" t="s">
        <v>277</v>
      </c>
      <c r="C149" s="16"/>
      <c r="D149" s="10" t="s">
        <v>195</v>
      </c>
      <c r="E149" s="42">
        <f>E150+E157</f>
        <v>231.9</v>
      </c>
      <c r="F149" s="42">
        <f>F150+F157</f>
        <v>198.4</v>
      </c>
    </row>
    <row r="150" spans="1:6" ht="33">
      <c r="A150" s="32" t="s">
        <v>85</v>
      </c>
      <c r="B150" s="12" t="s">
        <v>278</v>
      </c>
      <c r="C150" s="16"/>
      <c r="D150" s="10" t="s">
        <v>196</v>
      </c>
      <c r="E150" s="42">
        <f>E153+E155+E151</f>
        <v>64</v>
      </c>
      <c r="F150" s="42">
        <f>F153+F155+F151</f>
        <v>64</v>
      </c>
    </row>
    <row r="151" spans="1:6" ht="33">
      <c r="A151" s="32" t="s">
        <v>85</v>
      </c>
      <c r="B151" s="9" t="s">
        <v>554</v>
      </c>
      <c r="C151" s="9"/>
      <c r="D151" s="10" t="s">
        <v>555</v>
      </c>
      <c r="E151" s="42">
        <f>E152</f>
        <v>32</v>
      </c>
      <c r="F151" s="42">
        <f>F152</f>
        <v>32</v>
      </c>
    </row>
    <row r="152" spans="1:6" ht="33">
      <c r="A152" s="32" t="s">
        <v>85</v>
      </c>
      <c r="B152" s="9" t="s">
        <v>554</v>
      </c>
      <c r="C152" s="44" t="s">
        <v>108</v>
      </c>
      <c r="D152" s="10" t="s">
        <v>454</v>
      </c>
      <c r="E152" s="42">
        <f>'№8 (ведомст.)'!F133</f>
        <v>32</v>
      </c>
      <c r="F152" s="42">
        <f>'№8 (ведомст.)'!G133</f>
        <v>32</v>
      </c>
    </row>
    <row r="153" spans="1:6" ht="42.6" customHeight="1">
      <c r="A153" s="32" t="s">
        <v>85</v>
      </c>
      <c r="B153" s="9" t="s">
        <v>279</v>
      </c>
      <c r="C153" s="9"/>
      <c r="D153" s="41" t="s">
        <v>197</v>
      </c>
      <c r="E153" s="42">
        <f>E154</f>
        <v>20</v>
      </c>
      <c r="F153" s="42">
        <f>F154</f>
        <v>20</v>
      </c>
    </row>
    <row r="154" spans="1:6" ht="33">
      <c r="A154" s="32" t="s">
        <v>85</v>
      </c>
      <c r="B154" s="9" t="s">
        <v>279</v>
      </c>
      <c r="C154" s="44" t="s">
        <v>108</v>
      </c>
      <c r="D154" s="10" t="s">
        <v>454</v>
      </c>
      <c r="E154" s="42">
        <f>'№8 (ведомст.)'!F130</f>
        <v>20</v>
      </c>
      <c r="F154" s="42">
        <f>'№8 (ведомст.)'!G130</f>
        <v>20</v>
      </c>
    </row>
    <row r="155" spans="1:6" ht="90.6" customHeight="1">
      <c r="A155" s="32" t="s">
        <v>85</v>
      </c>
      <c r="B155" s="9" t="s">
        <v>280</v>
      </c>
      <c r="C155" s="9"/>
      <c r="D155" s="41" t="s">
        <v>233</v>
      </c>
      <c r="E155" s="42">
        <f>E156</f>
        <v>12</v>
      </c>
      <c r="F155" s="42">
        <f>F156</f>
        <v>12</v>
      </c>
    </row>
    <row r="156" spans="1:6" ht="35.45" customHeight="1">
      <c r="A156" s="32" t="s">
        <v>85</v>
      </c>
      <c r="B156" s="9" t="s">
        <v>280</v>
      </c>
      <c r="C156" s="44" t="s">
        <v>108</v>
      </c>
      <c r="D156" s="10" t="s">
        <v>454</v>
      </c>
      <c r="E156" s="42">
        <f>'№8 (ведомст.)'!F135</f>
        <v>12</v>
      </c>
      <c r="F156" s="42">
        <f>'№8 (ведомст.)'!G135</f>
        <v>12</v>
      </c>
    </row>
    <row r="157" spans="1:6" ht="27.6" customHeight="1">
      <c r="A157" s="32" t="s">
        <v>85</v>
      </c>
      <c r="B157" s="9" t="s">
        <v>281</v>
      </c>
      <c r="C157" s="9"/>
      <c r="D157" s="41" t="s">
        <v>198</v>
      </c>
      <c r="E157" s="42">
        <f>E158+E160</f>
        <v>167.9</v>
      </c>
      <c r="F157" s="42">
        <f>F158+F160</f>
        <v>134.4</v>
      </c>
    </row>
    <row r="158" spans="1:6" ht="37.15" customHeight="1">
      <c r="A158" s="32" t="s">
        <v>85</v>
      </c>
      <c r="B158" s="9" t="s">
        <v>282</v>
      </c>
      <c r="C158" s="9"/>
      <c r="D158" s="41" t="s">
        <v>199</v>
      </c>
      <c r="E158" s="42">
        <f>E159</f>
        <v>3.5</v>
      </c>
      <c r="F158" s="42">
        <f>F159</f>
        <v>3.5</v>
      </c>
    </row>
    <row r="159" spans="1:6" ht="33">
      <c r="A159" s="32" t="s">
        <v>85</v>
      </c>
      <c r="B159" s="9" t="s">
        <v>282</v>
      </c>
      <c r="C159" s="44" t="s">
        <v>108</v>
      </c>
      <c r="D159" s="10" t="s">
        <v>454</v>
      </c>
      <c r="E159" s="42">
        <f>'№8 (ведомст.)'!F139</f>
        <v>3.5</v>
      </c>
      <c r="F159" s="42">
        <f>'№8 (ведомст.)'!G139</f>
        <v>3.5</v>
      </c>
    </row>
    <row r="160" spans="1:6" ht="35.45" customHeight="1">
      <c r="A160" s="32" t="s">
        <v>85</v>
      </c>
      <c r="B160" s="9" t="s">
        <v>283</v>
      </c>
      <c r="C160" s="9"/>
      <c r="D160" s="41" t="s">
        <v>200</v>
      </c>
      <c r="E160" s="42">
        <f>E161</f>
        <v>164.4</v>
      </c>
      <c r="F160" s="42">
        <f>F161</f>
        <v>130.9</v>
      </c>
    </row>
    <row r="161" spans="1:6" ht="22.9" customHeight="1">
      <c r="A161" s="32" t="s">
        <v>85</v>
      </c>
      <c r="B161" s="9" t="s">
        <v>283</v>
      </c>
      <c r="C161" s="44" t="s">
        <v>109</v>
      </c>
      <c r="D161" s="46" t="s">
        <v>110</v>
      </c>
      <c r="E161" s="42">
        <f>'№8 (ведомст.)'!F141</f>
        <v>164.4</v>
      </c>
      <c r="F161" s="42">
        <f>'№8 (ведомст.)'!G141</f>
        <v>130.9</v>
      </c>
    </row>
    <row r="162" spans="1:6" ht="49.5">
      <c r="A162" s="32" t="s">
        <v>85</v>
      </c>
      <c r="B162" s="9" t="s">
        <v>314</v>
      </c>
      <c r="C162" s="44"/>
      <c r="D162" s="10" t="s">
        <v>168</v>
      </c>
      <c r="E162" s="42">
        <f aca="true" t="shared" si="13" ref="E162:F164">E163</f>
        <v>363</v>
      </c>
      <c r="F162" s="42">
        <f t="shared" si="13"/>
        <v>363</v>
      </c>
    </row>
    <row r="163" spans="1:6" ht="39" customHeight="1">
      <c r="A163" s="32" t="s">
        <v>85</v>
      </c>
      <c r="B163" s="9" t="s">
        <v>315</v>
      </c>
      <c r="C163" s="44"/>
      <c r="D163" s="10" t="s">
        <v>169</v>
      </c>
      <c r="E163" s="42">
        <f t="shared" si="13"/>
        <v>363</v>
      </c>
      <c r="F163" s="42">
        <f t="shared" si="13"/>
        <v>363</v>
      </c>
    </row>
    <row r="164" spans="1:6" ht="36" customHeight="1">
      <c r="A164" s="32" t="s">
        <v>85</v>
      </c>
      <c r="B164" s="9" t="s">
        <v>321</v>
      </c>
      <c r="C164" s="44"/>
      <c r="D164" s="10" t="s">
        <v>172</v>
      </c>
      <c r="E164" s="42">
        <f t="shared" si="13"/>
        <v>363</v>
      </c>
      <c r="F164" s="42">
        <f t="shared" si="13"/>
        <v>363</v>
      </c>
    </row>
    <row r="165" spans="1:6" ht="35.45" customHeight="1">
      <c r="A165" s="32" t="s">
        <v>85</v>
      </c>
      <c r="B165" s="9" t="s">
        <v>321</v>
      </c>
      <c r="C165" s="44" t="s">
        <v>108</v>
      </c>
      <c r="D165" s="10" t="s">
        <v>454</v>
      </c>
      <c r="E165" s="42">
        <f>'№8 (ведомст.)'!F311</f>
        <v>363</v>
      </c>
      <c r="F165" s="42">
        <f>'№8 (ведомст.)'!G311</f>
        <v>363</v>
      </c>
    </row>
    <row r="166" spans="1:6" s="56" customFormat="1" ht="19.15" customHeight="1">
      <c r="A166" s="33" t="s">
        <v>95</v>
      </c>
      <c r="B166" s="33"/>
      <c r="C166" s="33"/>
      <c r="D166" s="34" t="s">
        <v>62</v>
      </c>
      <c r="E166" s="52">
        <f>E167+E174+E183</f>
        <v>26665.4</v>
      </c>
      <c r="F166" s="52">
        <f>F167+F174+F183</f>
        <v>20195.7</v>
      </c>
    </row>
    <row r="167" spans="1:6" ht="19.9" customHeight="1">
      <c r="A167" s="32" t="s">
        <v>17</v>
      </c>
      <c r="B167" s="9"/>
      <c r="C167" s="9"/>
      <c r="D167" s="41" t="s">
        <v>18</v>
      </c>
      <c r="E167" s="42">
        <f>E168</f>
        <v>2102.7</v>
      </c>
      <c r="F167" s="42">
        <f>F168</f>
        <v>2052.2</v>
      </c>
    </row>
    <row r="168" spans="1:6" ht="52.9" customHeight="1">
      <c r="A168" s="32" t="s">
        <v>17</v>
      </c>
      <c r="B168" s="32" t="s">
        <v>314</v>
      </c>
      <c r="C168" s="32"/>
      <c r="D168" s="30" t="s">
        <v>168</v>
      </c>
      <c r="E168" s="42">
        <f>E169</f>
        <v>2102.7</v>
      </c>
      <c r="F168" s="42">
        <f>F169</f>
        <v>2052.2</v>
      </c>
    </row>
    <row r="169" spans="1:6" ht="44.45" customHeight="1">
      <c r="A169" s="32" t="s">
        <v>17</v>
      </c>
      <c r="B169" s="32" t="s">
        <v>315</v>
      </c>
      <c r="C169" s="32"/>
      <c r="D169" s="30" t="s">
        <v>169</v>
      </c>
      <c r="E169" s="42">
        <f>E170+E172</f>
        <v>2102.7</v>
      </c>
      <c r="F169" s="42">
        <f>F170+F172</f>
        <v>2052.2</v>
      </c>
    </row>
    <row r="170" spans="1:6" ht="41.45" customHeight="1">
      <c r="A170" s="32" t="s">
        <v>17</v>
      </c>
      <c r="B170" s="32" t="s">
        <v>322</v>
      </c>
      <c r="C170" s="32"/>
      <c r="D170" s="30" t="s">
        <v>235</v>
      </c>
      <c r="E170" s="42">
        <f>E171</f>
        <v>1765</v>
      </c>
      <c r="F170" s="42">
        <f>F171</f>
        <v>1714.5</v>
      </c>
    </row>
    <row r="171" spans="1:6" ht="33">
      <c r="A171" s="32" t="s">
        <v>17</v>
      </c>
      <c r="B171" s="32" t="s">
        <v>322</v>
      </c>
      <c r="C171" s="44" t="s">
        <v>108</v>
      </c>
      <c r="D171" s="10" t="s">
        <v>454</v>
      </c>
      <c r="E171" s="42">
        <f>'№8 (ведомст.)'!F319</f>
        <v>1765</v>
      </c>
      <c r="F171" s="42">
        <f>'№8 (ведомст.)'!G319</f>
        <v>1714.5</v>
      </c>
    </row>
    <row r="172" spans="1:6" ht="49.5">
      <c r="A172" s="32" t="s">
        <v>17</v>
      </c>
      <c r="B172" s="32" t="s">
        <v>476</v>
      </c>
      <c r="C172" s="44"/>
      <c r="D172" s="10" t="s">
        <v>475</v>
      </c>
      <c r="E172" s="42">
        <f>E173</f>
        <v>337.7</v>
      </c>
      <c r="F172" s="42">
        <f>F173</f>
        <v>337.7</v>
      </c>
    </row>
    <row r="173" spans="1:6" ht="33">
      <c r="A173" s="32" t="s">
        <v>17</v>
      </c>
      <c r="B173" s="32" t="s">
        <v>476</v>
      </c>
      <c r="C173" s="44" t="s">
        <v>108</v>
      </c>
      <c r="D173" s="10" t="s">
        <v>454</v>
      </c>
      <c r="E173" s="42">
        <f>'№8 (ведомст.)'!F322</f>
        <v>337.7</v>
      </c>
      <c r="F173" s="42">
        <f>'№8 (ведомст.)'!G322</f>
        <v>337.7</v>
      </c>
    </row>
    <row r="174" spans="1:6" ht="22.15" customHeight="1">
      <c r="A174" s="32" t="s">
        <v>86</v>
      </c>
      <c r="B174" s="9"/>
      <c r="C174" s="9"/>
      <c r="D174" s="11" t="s">
        <v>63</v>
      </c>
      <c r="E174" s="42">
        <f>E175</f>
        <v>6869.900000000001</v>
      </c>
      <c r="F174" s="42">
        <f>F175</f>
        <v>1150</v>
      </c>
    </row>
    <row r="175" spans="1:6" ht="49.5">
      <c r="A175" s="32" t="s">
        <v>86</v>
      </c>
      <c r="B175" s="9" t="s">
        <v>266</v>
      </c>
      <c r="C175" s="9"/>
      <c r="D175" s="41" t="s">
        <v>203</v>
      </c>
      <c r="E175" s="42">
        <f>E179+E176</f>
        <v>6869.900000000001</v>
      </c>
      <c r="F175" s="42">
        <f>F179+F176</f>
        <v>1150</v>
      </c>
    </row>
    <row r="176" spans="1:6" ht="49.5">
      <c r="A176" s="32" t="s">
        <v>86</v>
      </c>
      <c r="B176" s="9" t="s">
        <v>534</v>
      </c>
      <c r="C176" s="9"/>
      <c r="D176" s="35" t="s">
        <v>535</v>
      </c>
      <c r="E176" s="42">
        <f>E177</f>
        <v>1150</v>
      </c>
      <c r="F176" s="42">
        <f>F177</f>
        <v>1150</v>
      </c>
    </row>
    <row r="177" spans="1:6" ht="33">
      <c r="A177" s="32" t="s">
        <v>86</v>
      </c>
      <c r="B177" s="9" t="s">
        <v>539</v>
      </c>
      <c r="C177" s="9"/>
      <c r="D177" s="35" t="s">
        <v>538</v>
      </c>
      <c r="E177" s="42">
        <f>E178</f>
        <v>1150</v>
      </c>
      <c r="F177" s="42">
        <f>F178</f>
        <v>1150</v>
      </c>
    </row>
    <row r="178" spans="1:6" ht="33">
      <c r="A178" s="32" t="s">
        <v>86</v>
      </c>
      <c r="B178" s="9" t="s">
        <v>539</v>
      </c>
      <c r="C178" s="9" t="s">
        <v>108</v>
      </c>
      <c r="D178" s="10" t="s">
        <v>454</v>
      </c>
      <c r="E178" s="42">
        <f>'№8 (ведомст.)'!F148</f>
        <v>1150</v>
      </c>
      <c r="F178" s="42">
        <f>'№8 (ведомст.)'!G148</f>
        <v>1150</v>
      </c>
    </row>
    <row r="179" spans="1:6" ht="35.45" customHeight="1">
      <c r="A179" s="32" t="s">
        <v>86</v>
      </c>
      <c r="B179" s="9" t="s">
        <v>285</v>
      </c>
      <c r="C179" s="9"/>
      <c r="D179" s="41" t="s">
        <v>236</v>
      </c>
      <c r="E179" s="42">
        <f aca="true" t="shared" si="14" ref="E179:F179">E180</f>
        <v>5719.900000000001</v>
      </c>
      <c r="F179" s="42">
        <f t="shared" si="14"/>
        <v>0</v>
      </c>
    </row>
    <row r="180" spans="1:6" ht="35.45" customHeight="1">
      <c r="A180" s="32" t="s">
        <v>86</v>
      </c>
      <c r="B180" s="9" t="s">
        <v>286</v>
      </c>
      <c r="C180" s="9"/>
      <c r="D180" s="41" t="s">
        <v>237</v>
      </c>
      <c r="E180" s="42">
        <f>E182+E181</f>
        <v>5719.900000000001</v>
      </c>
      <c r="F180" s="42">
        <f>F182+F181</f>
        <v>0</v>
      </c>
    </row>
    <row r="181" spans="1:6" ht="35.45" customHeight="1">
      <c r="A181" s="32" t="s">
        <v>86</v>
      </c>
      <c r="B181" s="9" t="s">
        <v>286</v>
      </c>
      <c r="C181" s="9" t="s">
        <v>108</v>
      </c>
      <c r="D181" s="10" t="s">
        <v>454</v>
      </c>
      <c r="E181" s="42">
        <f>'№8 (ведомст.)'!F152</f>
        <v>79.1</v>
      </c>
      <c r="F181" s="42">
        <f>'№8 (ведомст.)'!G152</f>
        <v>0</v>
      </c>
    </row>
    <row r="182" spans="1:6" ht="35.45" customHeight="1">
      <c r="A182" s="32" t="s">
        <v>86</v>
      </c>
      <c r="B182" s="9" t="s">
        <v>286</v>
      </c>
      <c r="C182" s="44">
        <v>400</v>
      </c>
      <c r="D182" s="10" t="s">
        <v>180</v>
      </c>
      <c r="E182" s="42">
        <f>'№8 (ведомст.)'!F153</f>
        <v>5640.8</v>
      </c>
      <c r="F182" s="42">
        <f>'№8 (ведомст.)'!G153</f>
        <v>0</v>
      </c>
    </row>
    <row r="183" spans="1:6" ht="19.9" customHeight="1">
      <c r="A183" s="32" t="s">
        <v>87</v>
      </c>
      <c r="B183" s="9"/>
      <c r="C183" s="16"/>
      <c r="D183" s="10" t="s">
        <v>64</v>
      </c>
      <c r="E183" s="42">
        <f>E184</f>
        <v>17692.8</v>
      </c>
      <c r="F183" s="42">
        <f>F184</f>
        <v>16993.5</v>
      </c>
    </row>
    <row r="184" spans="1:6" ht="49.5">
      <c r="A184" s="32" t="s">
        <v>87</v>
      </c>
      <c r="B184" s="9" t="s">
        <v>266</v>
      </c>
      <c r="C184" s="9"/>
      <c r="D184" s="41" t="s">
        <v>203</v>
      </c>
      <c r="E184" s="42">
        <f aca="true" t="shared" si="15" ref="E184:F184">E185</f>
        <v>17692.8</v>
      </c>
      <c r="F184" s="42">
        <f t="shared" si="15"/>
        <v>16993.5</v>
      </c>
    </row>
    <row r="185" spans="1:6" ht="33">
      <c r="A185" s="32" t="s">
        <v>87</v>
      </c>
      <c r="B185" s="9" t="s">
        <v>267</v>
      </c>
      <c r="C185" s="9"/>
      <c r="D185" s="41" t="s">
        <v>204</v>
      </c>
      <c r="E185" s="42">
        <f>E188+E190+E192+E194+E198+E200+E196+E186</f>
        <v>17692.8</v>
      </c>
      <c r="F185" s="42">
        <f>F188+F190+F192+F194+F198+F200+F196+F186</f>
        <v>16993.5</v>
      </c>
    </row>
    <row r="186" spans="1:6" ht="33">
      <c r="A186" s="32" t="s">
        <v>87</v>
      </c>
      <c r="B186" s="9" t="s">
        <v>508</v>
      </c>
      <c r="C186" s="9"/>
      <c r="D186" s="41" t="s">
        <v>509</v>
      </c>
      <c r="E186" s="42">
        <f>E187</f>
        <v>255.1</v>
      </c>
      <c r="F186" s="42">
        <f>F187</f>
        <v>195.2</v>
      </c>
    </row>
    <row r="187" spans="1:6" ht="33">
      <c r="A187" s="32" t="s">
        <v>87</v>
      </c>
      <c r="B187" s="9" t="s">
        <v>508</v>
      </c>
      <c r="C187" s="9" t="s">
        <v>108</v>
      </c>
      <c r="D187" s="10" t="s">
        <v>454</v>
      </c>
      <c r="E187" s="42">
        <f>'№8 (ведомст.)'!F159</f>
        <v>255.1</v>
      </c>
      <c r="F187" s="42">
        <f>'№8 (ведомст.)'!G159</f>
        <v>195.2</v>
      </c>
    </row>
    <row r="188" spans="1:6" ht="19.9" customHeight="1">
      <c r="A188" s="32" t="s">
        <v>87</v>
      </c>
      <c r="B188" s="9" t="s">
        <v>287</v>
      </c>
      <c r="C188" s="9"/>
      <c r="D188" s="41" t="s">
        <v>205</v>
      </c>
      <c r="E188" s="42">
        <f>E189</f>
        <v>12662.6</v>
      </c>
      <c r="F188" s="42">
        <f>F189</f>
        <v>12023.2</v>
      </c>
    </row>
    <row r="189" spans="1:6" ht="33">
      <c r="A189" s="32" t="s">
        <v>87</v>
      </c>
      <c r="B189" s="9" t="s">
        <v>287</v>
      </c>
      <c r="C189" s="9" t="s">
        <v>108</v>
      </c>
      <c r="D189" s="10" t="s">
        <v>454</v>
      </c>
      <c r="E189" s="42">
        <f>'№8 (ведомст.)'!F161</f>
        <v>12662.6</v>
      </c>
      <c r="F189" s="42">
        <f>'№8 (ведомст.)'!G161</f>
        <v>12023.2</v>
      </c>
    </row>
    <row r="190" spans="1:6" ht="28.15" customHeight="1">
      <c r="A190" s="32" t="s">
        <v>87</v>
      </c>
      <c r="B190" s="9" t="s">
        <v>288</v>
      </c>
      <c r="C190" s="9"/>
      <c r="D190" s="41" t="s">
        <v>206</v>
      </c>
      <c r="E190" s="42">
        <f>E191</f>
        <v>809.0999999999999</v>
      </c>
      <c r="F190" s="42">
        <f>F191</f>
        <v>809.1</v>
      </c>
    </row>
    <row r="191" spans="1:6" ht="33">
      <c r="A191" s="32" t="s">
        <v>87</v>
      </c>
      <c r="B191" s="9" t="s">
        <v>288</v>
      </c>
      <c r="C191" s="9" t="s">
        <v>108</v>
      </c>
      <c r="D191" s="10" t="s">
        <v>454</v>
      </c>
      <c r="E191" s="42">
        <f>'№8 (ведомст.)'!F163</f>
        <v>809.0999999999999</v>
      </c>
      <c r="F191" s="42">
        <f>'№8 (ведомст.)'!G163</f>
        <v>809.1</v>
      </c>
    </row>
    <row r="192" spans="1:6" ht="12.75">
      <c r="A192" s="32" t="s">
        <v>87</v>
      </c>
      <c r="B192" s="9" t="s">
        <v>289</v>
      </c>
      <c r="C192" s="9"/>
      <c r="D192" s="41" t="s">
        <v>207</v>
      </c>
      <c r="E192" s="42">
        <f>E193</f>
        <v>3282.9</v>
      </c>
      <c r="F192" s="42">
        <f>F193</f>
        <v>3282.9</v>
      </c>
    </row>
    <row r="193" spans="1:6" ht="33">
      <c r="A193" s="32" t="s">
        <v>87</v>
      </c>
      <c r="B193" s="9" t="s">
        <v>289</v>
      </c>
      <c r="C193" s="9" t="s">
        <v>108</v>
      </c>
      <c r="D193" s="10" t="s">
        <v>454</v>
      </c>
      <c r="E193" s="42">
        <f>'№8 (ведомст.)'!F165</f>
        <v>3282.9</v>
      </c>
      <c r="F193" s="42">
        <f>'№8 (ведомст.)'!G165</f>
        <v>3282.9</v>
      </c>
    </row>
    <row r="194" spans="1:6" ht="12.75">
      <c r="A194" s="32" t="s">
        <v>87</v>
      </c>
      <c r="B194" s="9" t="s">
        <v>290</v>
      </c>
      <c r="C194" s="9"/>
      <c r="D194" s="41" t="s">
        <v>208</v>
      </c>
      <c r="E194" s="42">
        <f>E195</f>
        <v>123.7</v>
      </c>
      <c r="F194" s="42">
        <f>F195</f>
        <v>123.7</v>
      </c>
    </row>
    <row r="195" spans="1:6" ht="33">
      <c r="A195" s="32" t="s">
        <v>87</v>
      </c>
      <c r="B195" s="9" t="s">
        <v>290</v>
      </c>
      <c r="C195" s="9" t="s">
        <v>108</v>
      </c>
      <c r="D195" s="10" t="s">
        <v>454</v>
      </c>
      <c r="E195" s="42">
        <f>'№8 (ведомст.)'!F167</f>
        <v>123.7</v>
      </c>
      <c r="F195" s="42">
        <f>'№8 (ведомст.)'!G167</f>
        <v>123.7</v>
      </c>
    </row>
    <row r="196" spans="1:6" ht="49.5">
      <c r="A196" s="32" t="s">
        <v>87</v>
      </c>
      <c r="B196" s="9" t="s">
        <v>482</v>
      </c>
      <c r="C196" s="9"/>
      <c r="D196" s="41" t="s">
        <v>483</v>
      </c>
      <c r="E196" s="42">
        <f>E197</f>
        <v>105.6</v>
      </c>
      <c r="F196" s="42">
        <f>F197</f>
        <v>105.6</v>
      </c>
    </row>
    <row r="197" spans="1:6" ht="33">
      <c r="A197" s="32" t="s">
        <v>87</v>
      </c>
      <c r="B197" s="9" t="s">
        <v>482</v>
      </c>
      <c r="C197" s="9" t="s">
        <v>108</v>
      </c>
      <c r="D197" s="10" t="s">
        <v>454</v>
      </c>
      <c r="E197" s="42">
        <f>'№8 (ведомст.)'!F169</f>
        <v>105.6</v>
      </c>
      <c r="F197" s="42">
        <f>'№8 (ведомст.)'!G169</f>
        <v>105.6</v>
      </c>
    </row>
    <row r="198" spans="1:6" ht="24.6" customHeight="1">
      <c r="A198" s="32" t="s">
        <v>87</v>
      </c>
      <c r="B198" s="9" t="s">
        <v>361</v>
      </c>
      <c r="C198" s="9"/>
      <c r="D198" s="41" t="s">
        <v>209</v>
      </c>
      <c r="E198" s="42">
        <f>E199</f>
        <v>197.3</v>
      </c>
      <c r="F198" s="42">
        <f>F199</f>
        <v>197.3</v>
      </c>
    </row>
    <row r="199" spans="1:6" ht="33">
      <c r="A199" s="32" t="s">
        <v>87</v>
      </c>
      <c r="B199" s="9" t="s">
        <v>361</v>
      </c>
      <c r="C199" s="9" t="s">
        <v>108</v>
      </c>
      <c r="D199" s="10" t="s">
        <v>454</v>
      </c>
      <c r="E199" s="42">
        <f>'№8 (ведомст.)'!F171</f>
        <v>197.3</v>
      </c>
      <c r="F199" s="42">
        <f>'№8 (ведомст.)'!G171</f>
        <v>197.3</v>
      </c>
    </row>
    <row r="200" spans="1:6" ht="33">
      <c r="A200" s="32" t="s">
        <v>87</v>
      </c>
      <c r="B200" s="9" t="s">
        <v>291</v>
      </c>
      <c r="C200" s="9"/>
      <c r="D200" s="41" t="s">
        <v>210</v>
      </c>
      <c r="E200" s="42">
        <f>E201</f>
        <v>256.5</v>
      </c>
      <c r="F200" s="42">
        <f>F201</f>
        <v>256.5</v>
      </c>
    </row>
    <row r="201" spans="1:6" ht="33">
      <c r="A201" s="32" t="s">
        <v>87</v>
      </c>
      <c r="B201" s="9" t="s">
        <v>291</v>
      </c>
      <c r="C201" s="9" t="s">
        <v>108</v>
      </c>
      <c r="D201" s="10" t="s">
        <v>454</v>
      </c>
      <c r="E201" s="42">
        <f>'№8 (ведомст.)'!F173</f>
        <v>256.5</v>
      </c>
      <c r="F201" s="42">
        <f>'№8 (ведомст.)'!G173</f>
        <v>256.5</v>
      </c>
    </row>
    <row r="202" spans="1:6" s="56" customFormat="1" ht="12.75">
      <c r="A202" s="33" t="s">
        <v>73</v>
      </c>
      <c r="B202" s="33"/>
      <c r="C202" s="33"/>
      <c r="D202" s="34" t="s">
        <v>65</v>
      </c>
      <c r="E202" s="52">
        <f>E203+E218+E263+E293</f>
        <v>447071.4</v>
      </c>
      <c r="F202" s="52">
        <f>F203+F218+F263+F293</f>
        <v>446811.29999999993</v>
      </c>
    </row>
    <row r="203" spans="1:6" ht="24" customHeight="1">
      <c r="A203" s="12" t="s">
        <v>88</v>
      </c>
      <c r="B203" s="12"/>
      <c r="C203" s="16"/>
      <c r="D203" s="10" t="s">
        <v>26</v>
      </c>
      <c r="E203" s="42">
        <f aca="true" t="shared" si="16" ref="E203:F204">E204</f>
        <v>159655.4</v>
      </c>
      <c r="F203" s="42">
        <f t="shared" si="16"/>
        <v>159655.4</v>
      </c>
    </row>
    <row r="204" spans="1:6" ht="40.15" customHeight="1">
      <c r="A204" s="12" t="s">
        <v>88</v>
      </c>
      <c r="B204" s="12" t="s">
        <v>330</v>
      </c>
      <c r="C204" s="16"/>
      <c r="D204" s="10" t="s">
        <v>127</v>
      </c>
      <c r="E204" s="42">
        <f t="shared" si="16"/>
        <v>159655.4</v>
      </c>
      <c r="F204" s="42">
        <f t="shared" si="16"/>
        <v>159655.4</v>
      </c>
    </row>
    <row r="205" spans="1:6" ht="36" customHeight="1">
      <c r="A205" s="12" t="s">
        <v>88</v>
      </c>
      <c r="B205" s="12" t="s">
        <v>331</v>
      </c>
      <c r="C205" s="16"/>
      <c r="D205" s="10" t="s">
        <v>128</v>
      </c>
      <c r="E205" s="42">
        <f>E208+E210+E212+E214+E206+E216</f>
        <v>159655.4</v>
      </c>
      <c r="F205" s="42">
        <f>F208+F210+F212+F214+F206+F216</f>
        <v>159655.4</v>
      </c>
    </row>
    <row r="206" spans="1:6" ht="36" customHeight="1">
      <c r="A206" s="12" t="s">
        <v>88</v>
      </c>
      <c r="B206" s="9" t="s">
        <v>348</v>
      </c>
      <c r="C206" s="9"/>
      <c r="D206" s="10" t="s">
        <v>130</v>
      </c>
      <c r="E206" s="42">
        <f>E207</f>
        <v>86181.9</v>
      </c>
      <c r="F206" s="42">
        <f>F207</f>
        <v>86181.9</v>
      </c>
    </row>
    <row r="207" spans="1:6" ht="36" customHeight="1">
      <c r="A207" s="12" t="s">
        <v>88</v>
      </c>
      <c r="B207" s="9" t="s">
        <v>348</v>
      </c>
      <c r="C207" s="16">
        <v>600</v>
      </c>
      <c r="D207" s="10" t="s">
        <v>131</v>
      </c>
      <c r="E207" s="42">
        <f>'№8 (ведомст.)'!F421</f>
        <v>86181.9</v>
      </c>
      <c r="F207" s="42">
        <f>'№8 (ведомст.)'!G421</f>
        <v>86181.9</v>
      </c>
    </row>
    <row r="208" spans="1:6" ht="49.5">
      <c r="A208" s="12" t="s">
        <v>88</v>
      </c>
      <c r="B208" s="9" t="s">
        <v>344</v>
      </c>
      <c r="C208" s="9"/>
      <c r="D208" s="41" t="s">
        <v>129</v>
      </c>
      <c r="E208" s="42">
        <f>E209</f>
        <v>63035.4</v>
      </c>
      <c r="F208" s="42">
        <f>F209</f>
        <v>63035.4</v>
      </c>
    </row>
    <row r="209" spans="1:6" ht="33">
      <c r="A209" s="12" t="s">
        <v>88</v>
      </c>
      <c r="B209" s="9" t="s">
        <v>344</v>
      </c>
      <c r="C209" s="16">
        <v>600</v>
      </c>
      <c r="D209" s="10" t="s">
        <v>131</v>
      </c>
      <c r="E209" s="42">
        <f>'№8 (ведомст.)'!F423</f>
        <v>63035.4</v>
      </c>
      <c r="F209" s="42">
        <f>'№8 (ведомст.)'!G423</f>
        <v>63035.4</v>
      </c>
    </row>
    <row r="210" spans="1:6" ht="33">
      <c r="A210" s="12" t="s">
        <v>88</v>
      </c>
      <c r="B210" s="9" t="s">
        <v>345</v>
      </c>
      <c r="C210" s="9"/>
      <c r="D210" s="41" t="s">
        <v>132</v>
      </c>
      <c r="E210" s="42">
        <f>E211</f>
        <v>7265.300000000001</v>
      </c>
      <c r="F210" s="42">
        <f>F211</f>
        <v>7265.3</v>
      </c>
    </row>
    <row r="211" spans="1:6" ht="33">
      <c r="A211" s="12" t="s">
        <v>88</v>
      </c>
      <c r="B211" s="9" t="s">
        <v>345</v>
      </c>
      <c r="C211" s="16">
        <v>600</v>
      </c>
      <c r="D211" s="10" t="s">
        <v>131</v>
      </c>
      <c r="E211" s="42">
        <f>'№8 (ведомст.)'!F425</f>
        <v>7265.300000000001</v>
      </c>
      <c r="F211" s="42">
        <f>'№8 (ведомст.)'!G425</f>
        <v>7265.3</v>
      </c>
    </row>
    <row r="212" spans="1:6" ht="33">
      <c r="A212" s="12" t="s">
        <v>88</v>
      </c>
      <c r="B212" s="9" t="s">
        <v>346</v>
      </c>
      <c r="C212" s="9"/>
      <c r="D212" s="41" t="s">
        <v>133</v>
      </c>
      <c r="E212" s="42">
        <f>E213</f>
        <v>230.10000000000002</v>
      </c>
      <c r="F212" s="42">
        <f>F213</f>
        <v>230.1</v>
      </c>
    </row>
    <row r="213" spans="1:6" ht="33">
      <c r="A213" s="12" t="s">
        <v>88</v>
      </c>
      <c r="B213" s="9" t="s">
        <v>346</v>
      </c>
      <c r="C213" s="16">
        <v>600</v>
      </c>
      <c r="D213" s="10" t="s">
        <v>131</v>
      </c>
      <c r="E213" s="42">
        <f>'№8 (ведомст.)'!F427</f>
        <v>230.10000000000002</v>
      </c>
      <c r="F213" s="42">
        <f>'№8 (ведомст.)'!G427</f>
        <v>230.1</v>
      </c>
    </row>
    <row r="214" spans="1:6" ht="52.9" customHeight="1">
      <c r="A214" s="12" t="s">
        <v>88</v>
      </c>
      <c r="B214" s="9" t="s">
        <v>347</v>
      </c>
      <c r="C214" s="9"/>
      <c r="D214" s="41" t="s">
        <v>139</v>
      </c>
      <c r="E214" s="42">
        <f>E215</f>
        <v>1861.1000000000001</v>
      </c>
      <c r="F214" s="42">
        <f>F215</f>
        <v>1861.1</v>
      </c>
    </row>
    <row r="215" spans="1:6" ht="34.15" customHeight="1">
      <c r="A215" s="12" t="s">
        <v>88</v>
      </c>
      <c r="B215" s="9" t="s">
        <v>347</v>
      </c>
      <c r="C215" s="16">
        <v>600</v>
      </c>
      <c r="D215" s="10" t="s">
        <v>131</v>
      </c>
      <c r="E215" s="42">
        <f>'№8 (ведомст.)'!F429</f>
        <v>1861.1000000000001</v>
      </c>
      <c r="F215" s="42">
        <f>'№8 (ведомст.)'!G429</f>
        <v>1861.1</v>
      </c>
    </row>
    <row r="216" spans="1:6" ht="34.15" customHeight="1">
      <c r="A216" s="12" t="s">
        <v>88</v>
      </c>
      <c r="B216" s="9" t="s">
        <v>471</v>
      </c>
      <c r="C216" s="9"/>
      <c r="D216" s="10" t="s">
        <v>472</v>
      </c>
      <c r="E216" s="42">
        <f>E217</f>
        <v>1081.6</v>
      </c>
      <c r="F216" s="42">
        <f>F217</f>
        <v>1081.6</v>
      </c>
    </row>
    <row r="217" spans="1:6" ht="34.15" customHeight="1">
      <c r="A217" s="12" t="s">
        <v>88</v>
      </c>
      <c r="B217" s="9" t="s">
        <v>471</v>
      </c>
      <c r="C217" s="16">
        <v>600</v>
      </c>
      <c r="D217" s="10" t="s">
        <v>131</v>
      </c>
      <c r="E217" s="42">
        <f>'№8 (ведомст.)'!F431</f>
        <v>1081.6</v>
      </c>
      <c r="F217" s="42">
        <f>'№8 (ведомст.)'!G431</f>
        <v>1081.6</v>
      </c>
    </row>
    <row r="218" spans="1:6" ht="12.75">
      <c r="A218" s="12" t="s">
        <v>89</v>
      </c>
      <c r="B218" s="12"/>
      <c r="C218" s="16"/>
      <c r="D218" s="41" t="s">
        <v>27</v>
      </c>
      <c r="E218" s="42">
        <f>E219+E247+E253+E259</f>
        <v>263471.30000000005</v>
      </c>
      <c r="F218" s="42">
        <f>F219+F247+F253+F259</f>
        <v>263471.3</v>
      </c>
    </row>
    <row r="219" spans="1:6" ht="43.9" customHeight="1">
      <c r="A219" s="12" t="s">
        <v>89</v>
      </c>
      <c r="B219" s="12" t="s">
        <v>330</v>
      </c>
      <c r="C219" s="16"/>
      <c r="D219" s="10" t="s">
        <v>127</v>
      </c>
      <c r="E219" s="42">
        <f>E220</f>
        <v>233601.00000000003</v>
      </c>
      <c r="F219" s="42">
        <f>F220</f>
        <v>233601</v>
      </c>
    </row>
    <row r="220" spans="1:6" ht="33">
      <c r="A220" s="12" t="s">
        <v>89</v>
      </c>
      <c r="B220" s="12" t="s">
        <v>331</v>
      </c>
      <c r="C220" s="16"/>
      <c r="D220" s="10" t="s">
        <v>128</v>
      </c>
      <c r="E220" s="42">
        <f>E227+E241+E243+E229+E231+E239+E237+E223+E233+E225+E221+E245+E235</f>
        <v>233601.00000000003</v>
      </c>
      <c r="F220" s="42">
        <f>F227+F241+F243+F229+F231+F239+F237+F223+F233+F225+F221+F245+F235</f>
        <v>233601</v>
      </c>
    </row>
    <row r="221" spans="1:6" ht="49.5">
      <c r="A221" s="12" t="s">
        <v>89</v>
      </c>
      <c r="B221" s="9" t="s">
        <v>493</v>
      </c>
      <c r="C221" s="9"/>
      <c r="D221" s="30" t="s">
        <v>496</v>
      </c>
      <c r="E221" s="42">
        <f>E222</f>
        <v>4227</v>
      </c>
      <c r="F221" s="42">
        <f>F222</f>
        <v>4227</v>
      </c>
    </row>
    <row r="222" spans="1:6" ht="33">
      <c r="A222" s="12" t="s">
        <v>89</v>
      </c>
      <c r="B222" s="9" t="s">
        <v>493</v>
      </c>
      <c r="C222" s="16">
        <v>600</v>
      </c>
      <c r="D222" s="41" t="s">
        <v>131</v>
      </c>
      <c r="E222" s="42">
        <f>'№8 (ведомст.)'!F440</f>
        <v>4227</v>
      </c>
      <c r="F222" s="42">
        <f>'№8 (ведомст.)'!G440</f>
        <v>4227</v>
      </c>
    </row>
    <row r="223" spans="1:6" ht="99">
      <c r="A223" s="12" t="s">
        <v>89</v>
      </c>
      <c r="B223" s="9" t="s">
        <v>355</v>
      </c>
      <c r="C223" s="9"/>
      <c r="D223" s="41" t="s">
        <v>147</v>
      </c>
      <c r="E223" s="42">
        <f>E224</f>
        <v>169112.6</v>
      </c>
      <c r="F223" s="42">
        <f>F224</f>
        <v>169112.6</v>
      </c>
    </row>
    <row r="224" spans="1:6" ht="33">
      <c r="A224" s="12" t="s">
        <v>89</v>
      </c>
      <c r="B224" s="9" t="s">
        <v>355</v>
      </c>
      <c r="C224" s="16">
        <v>600</v>
      </c>
      <c r="D224" s="41" t="s">
        <v>131</v>
      </c>
      <c r="E224" s="42">
        <f>'№8 (ведомст.)'!F442</f>
        <v>169112.6</v>
      </c>
      <c r="F224" s="42">
        <f>'№8 (ведомст.)'!G442</f>
        <v>169112.6</v>
      </c>
    </row>
    <row r="225" spans="1:6" ht="49.5">
      <c r="A225" s="12" t="s">
        <v>89</v>
      </c>
      <c r="B225" s="9" t="s">
        <v>480</v>
      </c>
      <c r="C225" s="9"/>
      <c r="D225" s="41" t="s">
        <v>481</v>
      </c>
      <c r="E225" s="42">
        <f>E226</f>
        <v>5594.4</v>
      </c>
      <c r="F225" s="42">
        <f>F226</f>
        <v>5594.4</v>
      </c>
    </row>
    <row r="226" spans="1:6" ht="33">
      <c r="A226" s="12" t="s">
        <v>89</v>
      </c>
      <c r="B226" s="9" t="s">
        <v>480</v>
      </c>
      <c r="C226" s="16">
        <v>600</v>
      </c>
      <c r="D226" s="41" t="s">
        <v>131</v>
      </c>
      <c r="E226" s="42">
        <f>'№8 (ведомст.)'!F444</f>
        <v>5594.4</v>
      </c>
      <c r="F226" s="42">
        <f>'№8 (ведомст.)'!G444</f>
        <v>5594.4</v>
      </c>
    </row>
    <row r="227" spans="1:6" ht="56.45" customHeight="1">
      <c r="A227" s="12" t="s">
        <v>89</v>
      </c>
      <c r="B227" s="9" t="s">
        <v>349</v>
      </c>
      <c r="C227" s="9"/>
      <c r="D227" s="41" t="s">
        <v>134</v>
      </c>
      <c r="E227" s="42">
        <f>E228</f>
        <v>32756.200000000004</v>
      </c>
      <c r="F227" s="42">
        <f>F228</f>
        <v>32756.2</v>
      </c>
    </row>
    <row r="228" spans="1:6" ht="36" customHeight="1">
      <c r="A228" s="12" t="s">
        <v>89</v>
      </c>
      <c r="B228" s="9" t="s">
        <v>349</v>
      </c>
      <c r="C228" s="16">
        <v>600</v>
      </c>
      <c r="D228" s="10" t="s">
        <v>131</v>
      </c>
      <c r="E228" s="42">
        <f>'№8 (ведомст.)'!F446</f>
        <v>32756.200000000004</v>
      </c>
      <c r="F228" s="42">
        <f>'№8 (ведомст.)'!G446</f>
        <v>32756.2</v>
      </c>
    </row>
    <row r="229" spans="1:6" ht="36" customHeight="1">
      <c r="A229" s="12" t="s">
        <v>89</v>
      </c>
      <c r="B229" s="9" t="s">
        <v>352</v>
      </c>
      <c r="C229" s="9"/>
      <c r="D229" s="41" t="s">
        <v>137</v>
      </c>
      <c r="E229" s="42">
        <f>E230</f>
        <v>3295.8999999999996</v>
      </c>
      <c r="F229" s="42">
        <f>F230</f>
        <v>3295.9</v>
      </c>
    </row>
    <row r="230" spans="1:6" ht="36" customHeight="1">
      <c r="A230" s="12" t="s">
        <v>89</v>
      </c>
      <c r="B230" s="9" t="s">
        <v>352</v>
      </c>
      <c r="C230" s="16">
        <v>600</v>
      </c>
      <c r="D230" s="10" t="s">
        <v>131</v>
      </c>
      <c r="E230" s="42">
        <f>'№8 (ведомст.)'!F448</f>
        <v>3295.8999999999996</v>
      </c>
      <c r="F230" s="42">
        <f>'№8 (ведомст.)'!G448</f>
        <v>3295.9</v>
      </c>
    </row>
    <row r="231" spans="1:6" ht="36" customHeight="1">
      <c r="A231" s="12" t="s">
        <v>89</v>
      </c>
      <c r="B231" s="9" t="s">
        <v>353</v>
      </c>
      <c r="C231" s="9"/>
      <c r="D231" s="41" t="s">
        <v>138</v>
      </c>
      <c r="E231" s="42">
        <f>E232</f>
        <v>464.5</v>
      </c>
      <c r="F231" s="42">
        <f>F232</f>
        <v>464.5</v>
      </c>
    </row>
    <row r="232" spans="1:6" ht="36" customHeight="1">
      <c r="A232" s="12" t="s">
        <v>89</v>
      </c>
      <c r="B232" s="9" t="s">
        <v>353</v>
      </c>
      <c r="C232" s="16">
        <v>600</v>
      </c>
      <c r="D232" s="10" t="s">
        <v>131</v>
      </c>
      <c r="E232" s="42">
        <f>'№8 (ведомст.)'!F450</f>
        <v>464.5</v>
      </c>
      <c r="F232" s="42">
        <f>'№8 (ведомст.)'!G450</f>
        <v>464.5</v>
      </c>
    </row>
    <row r="233" spans="1:6" ht="36" customHeight="1">
      <c r="A233" s="12" t="s">
        <v>89</v>
      </c>
      <c r="B233" s="9" t="s">
        <v>473</v>
      </c>
      <c r="C233" s="16"/>
      <c r="D233" s="41" t="s">
        <v>140</v>
      </c>
      <c r="E233" s="42">
        <f>E234</f>
        <v>668.9</v>
      </c>
      <c r="F233" s="42">
        <f>F234</f>
        <v>668.9</v>
      </c>
    </row>
    <row r="234" spans="1:6" ht="36" customHeight="1">
      <c r="A234" s="12" t="s">
        <v>89</v>
      </c>
      <c r="B234" s="9" t="s">
        <v>473</v>
      </c>
      <c r="C234" s="16">
        <v>600</v>
      </c>
      <c r="D234" s="10" t="s">
        <v>131</v>
      </c>
      <c r="E234" s="42">
        <f>'№8 (ведомст.)'!F452</f>
        <v>668.9</v>
      </c>
      <c r="F234" s="42">
        <f>'№8 (ведомст.)'!G452</f>
        <v>668.9</v>
      </c>
    </row>
    <row r="235" spans="1:6" ht="36" customHeight="1">
      <c r="A235" s="12" t="s">
        <v>89</v>
      </c>
      <c r="B235" s="9" t="s">
        <v>471</v>
      </c>
      <c r="C235" s="9"/>
      <c r="D235" s="10" t="s">
        <v>472</v>
      </c>
      <c r="E235" s="42">
        <f>E236</f>
        <v>41.2</v>
      </c>
      <c r="F235" s="42">
        <f>F236</f>
        <v>41.2</v>
      </c>
    </row>
    <row r="236" spans="1:6" ht="36" customHeight="1">
      <c r="A236" s="12" t="s">
        <v>89</v>
      </c>
      <c r="B236" s="9" t="s">
        <v>471</v>
      </c>
      <c r="C236" s="16">
        <v>600</v>
      </c>
      <c r="D236" s="10" t="s">
        <v>131</v>
      </c>
      <c r="E236" s="42">
        <f>'№8 (ведомст.)'!F437</f>
        <v>41.2</v>
      </c>
      <c r="F236" s="42">
        <f>'№8 (ведомст.)'!G437</f>
        <v>41.2</v>
      </c>
    </row>
    <row r="237" spans="1:6" ht="36" customHeight="1">
      <c r="A237" s="12" t="s">
        <v>89</v>
      </c>
      <c r="B237" s="9" t="s">
        <v>354</v>
      </c>
      <c r="C237" s="9"/>
      <c r="D237" s="30" t="s">
        <v>141</v>
      </c>
      <c r="E237" s="42">
        <f>E238</f>
        <v>4884.900000000001</v>
      </c>
      <c r="F237" s="42">
        <f>F238</f>
        <v>4884.9</v>
      </c>
    </row>
    <row r="238" spans="1:6" ht="36" customHeight="1">
      <c r="A238" s="12" t="s">
        <v>89</v>
      </c>
      <c r="B238" s="9" t="s">
        <v>354</v>
      </c>
      <c r="C238" s="16">
        <v>600</v>
      </c>
      <c r="D238" s="41" t="s">
        <v>131</v>
      </c>
      <c r="E238" s="42">
        <f>'№8 (ведомст.)'!F454</f>
        <v>4884.900000000001</v>
      </c>
      <c r="F238" s="42">
        <f>'№8 (ведомст.)'!G454</f>
        <v>4884.9</v>
      </c>
    </row>
    <row r="239" spans="1:6" ht="36" customHeight="1">
      <c r="A239" s="12" t="s">
        <v>89</v>
      </c>
      <c r="B239" s="9" t="s">
        <v>365</v>
      </c>
      <c r="C239" s="9"/>
      <c r="D239" s="41" t="s">
        <v>140</v>
      </c>
      <c r="E239" s="42">
        <f>E240</f>
        <v>1015.2000000000003</v>
      </c>
      <c r="F239" s="42">
        <f>F240</f>
        <v>1015.2</v>
      </c>
    </row>
    <row r="240" spans="1:6" ht="36" customHeight="1">
      <c r="A240" s="12" t="s">
        <v>89</v>
      </c>
      <c r="B240" s="9" t="s">
        <v>365</v>
      </c>
      <c r="C240" s="16">
        <v>600</v>
      </c>
      <c r="D240" s="41" t="s">
        <v>131</v>
      </c>
      <c r="E240" s="42">
        <f>'№8 (ведомст.)'!F456</f>
        <v>1015.2000000000003</v>
      </c>
      <c r="F240" s="42">
        <f>'№8 (ведомст.)'!G456</f>
        <v>1015.2</v>
      </c>
    </row>
    <row r="241" spans="1:6" ht="33">
      <c r="A241" s="12" t="s">
        <v>89</v>
      </c>
      <c r="B241" s="9" t="s">
        <v>350</v>
      </c>
      <c r="C241" s="9"/>
      <c r="D241" s="41" t="s">
        <v>135</v>
      </c>
      <c r="E241" s="42">
        <f>E242</f>
        <v>3638</v>
      </c>
      <c r="F241" s="42">
        <f>F242</f>
        <v>3638</v>
      </c>
    </row>
    <row r="242" spans="1:6" ht="33">
      <c r="A242" s="12" t="s">
        <v>89</v>
      </c>
      <c r="B242" s="9" t="s">
        <v>350</v>
      </c>
      <c r="C242" s="16">
        <v>600</v>
      </c>
      <c r="D242" s="10" t="s">
        <v>131</v>
      </c>
      <c r="E242" s="42">
        <f>'№8 (ведомст.)'!F459</f>
        <v>3638</v>
      </c>
      <c r="F242" s="42">
        <f>'№8 (ведомст.)'!G459</f>
        <v>3638</v>
      </c>
    </row>
    <row r="243" spans="1:6" ht="49.5">
      <c r="A243" s="12" t="s">
        <v>89</v>
      </c>
      <c r="B243" s="9" t="s">
        <v>351</v>
      </c>
      <c r="C243" s="9"/>
      <c r="D243" s="41" t="s">
        <v>136</v>
      </c>
      <c r="E243" s="42">
        <f>E244</f>
        <v>7868.5</v>
      </c>
      <c r="F243" s="42">
        <f>F244</f>
        <v>7868.5</v>
      </c>
    </row>
    <row r="244" spans="1:6" ht="33">
      <c r="A244" s="12" t="s">
        <v>89</v>
      </c>
      <c r="B244" s="9" t="s">
        <v>351</v>
      </c>
      <c r="C244" s="16">
        <v>600</v>
      </c>
      <c r="D244" s="10" t="s">
        <v>131</v>
      </c>
      <c r="E244" s="42">
        <f>'№8 (ведомст.)'!F461</f>
        <v>7868.5</v>
      </c>
      <c r="F244" s="42">
        <f>'№8 (ведомст.)'!G461</f>
        <v>7868.5</v>
      </c>
    </row>
    <row r="245" spans="1:6" ht="49.5">
      <c r="A245" s="12" t="s">
        <v>89</v>
      </c>
      <c r="B245" s="9" t="s">
        <v>556</v>
      </c>
      <c r="C245" s="9"/>
      <c r="D245" s="41" t="s">
        <v>557</v>
      </c>
      <c r="E245" s="42">
        <f>E246</f>
        <v>33.7</v>
      </c>
      <c r="F245" s="42">
        <f>F246</f>
        <v>33.7</v>
      </c>
    </row>
    <row r="246" spans="1:6" ht="33">
      <c r="A246" s="12" t="s">
        <v>89</v>
      </c>
      <c r="B246" s="9" t="s">
        <v>556</v>
      </c>
      <c r="C246" s="16">
        <v>600</v>
      </c>
      <c r="D246" s="10" t="s">
        <v>131</v>
      </c>
      <c r="E246" s="42">
        <f>'№8 (ведомст.)'!F463</f>
        <v>33.7</v>
      </c>
      <c r="F246" s="42">
        <f>'№8 (ведомст.)'!G463</f>
        <v>33.7</v>
      </c>
    </row>
    <row r="247" spans="1:6" ht="42.6" customHeight="1">
      <c r="A247" s="32" t="s">
        <v>89</v>
      </c>
      <c r="B247" s="9" t="s">
        <v>292</v>
      </c>
      <c r="C247" s="9"/>
      <c r="D247" s="41" t="s">
        <v>174</v>
      </c>
      <c r="E247" s="42">
        <f>E248</f>
        <v>16813.7</v>
      </c>
      <c r="F247" s="42">
        <f>F248</f>
        <v>16813.7</v>
      </c>
    </row>
    <row r="248" spans="1:6" ht="33">
      <c r="A248" s="32" t="s">
        <v>89</v>
      </c>
      <c r="B248" s="9" t="s">
        <v>293</v>
      </c>
      <c r="C248" s="9"/>
      <c r="D248" s="41" t="s">
        <v>175</v>
      </c>
      <c r="E248" s="42">
        <f>E249+E251</f>
        <v>16813.7</v>
      </c>
      <c r="F248" s="42">
        <f>F249+F251</f>
        <v>16813.7</v>
      </c>
    </row>
    <row r="249" spans="1:6" ht="24" customHeight="1">
      <c r="A249" s="32" t="s">
        <v>89</v>
      </c>
      <c r="B249" s="9" t="s">
        <v>294</v>
      </c>
      <c r="C249" s="9"/>
      <c r="D249" s="41" t="s">
        <v>214</v>
      </c>
      <c r="E249" s="42">
        <f>E250</f>
        <v>15000.9</v>
      </c>
      <c r="F249" s="42">
        <f>F250</f>
        <v>15000.9</v>
      </c>
    </row>
    <row r="250" spans="1:6" ht="33">
      <c r="A250" s="32" t="s">
        <v>89</v>
      </c>
      <c r="B250" s="9" t="s">
        <v>294</v>
      </c>
      <c r="C250" s="16">
        <v>600</v>
      </c>
      <c r="D250" s="10" t="s">
        <v>131</v>
      </c>
      <c r="E250" s="42">
        <f>'№8 (ведомст.)'!F181</f>
        <v>15000.9</v>
      </c>
      <c r="F250" s="42">
        <f>'№8 (ведомст.)'!G181</f>
        <v>15000.9</v>
      </c>
    </row>
    <row r="251" spans="1:6" ht="33">
      <c r="A251" s="32" t="s">
        <v>89</v>
      </c>
      <c r="B251" s="9" t="s">
        <v>459</v>
      </c>
      <c r="C251" s="16"/>
      <c r="D251" s="10" t="s">
        <v>460</v>
      </c>
      <c r="E251" s="42">
        <f>E252</f>
        <v>1812.8</v>
      </c>
      <c r="F251" s="42">
        <f>F252</f>
        <v>1812.8</v>
      </c>
    </row>
    <row r="252" spans="1:6" ht="33">
      <c r="A252" s="32" t="s">
        <v>89</v>
      </c>
      <c r="B252" s="9" t="s">
        <v>459</v>
      </c>
      <c r="C252" s="16">
        <v>600</v>
      </c>
      <c r="D252" s="10" t="s">
        <v>131</v>
      </c>
      <c r="E252" s="42">
        <f>'№8 (ведомст.)'!F183</f>
        <v>1812.8</v>
      </c>
      <c r="F252" s="42">
        <f>'№8 (ведомст.)'!G183</f>
        <v>1812.8</v>
      </c>
    </row>
    <row r="253" spans="1:6" ht="49.5">
      <c r="A253" s="12" t="s">
        <v>89</v>
      </c>
      <c r="B253" s="12" t="s">
        <v>326</v>
      </c>
      <c r="C253" s="16"/>
      <c r="D253" s="10" t="s">
        <v>159</v>
      </c>
      <c r="E253" s="42">
        <f>E254</f>
        <v>12956.599999999999</v>
      </c>
      <c r="F253" s="42">
        <f>F254</f>
        <v>12956.6</v>
      </c>
    </row>
    <row r="254" spans="1:6" ht="33">
      <c r="A254" s="12" t="s">
        <v>89</v>
      </c>
      <c r="B254" s="12" t="s">
        <v>327</v>
      </c>
      <c r="C254" s="16"/>
      <c r="D254" s="10" t="s">
        <v>160</v>
      </c>
      <c r="E254" s="42">
        <f>E255+E257</f>
        <v>12956.599999999999</v>
      </c>
      <c r="F254" s="42">
        <f>F255+F257</f>
        <v>12956.6</v>
      </c>
    </row>
    <row r="255" spans="1:6" ht="49.5">
      <c r="A255" s="12" t="s">
        <v>89</v>
      </c>
      <c r="B255" s="12" t="s">
        <v>328</v>
      </c>
      <c r="C255" s="16"/>
      <c r="D255" s="10" t="s">
        <v>161</v>
      </c>
      <c r="E255" s="42">
        <f>E256</f>
        <v>11720.9</v>
      </c>
      <c r="F255" s="42">
        <f>F256</f>
        <v>11720.9</v>
      </c>
    </row>
    <row r="256" spans="1:6" ht="33">
      <c r="A256" s="12" t="s">
        <v>89</v>
      </c>
      <c r="B256" s="12" t="s">
        <v>328</v>
      </c>
      <c r="C256" s="16">
        <v>600</v>
      </c>
      <c r="D256" s="10" t="s">
        <v>131</v>
      </c>
      <c r="E256" s="42">
        <f>'№8 (ведомст.)'!F354</f>
        <v>11720.9</v>
      </c>
      <c r="F256" s="42">
        <f>'№8 (ведомст.)'!G354</f>
        <v>11720.9</v>
      </c>
    </row>
    <row r="257" spans="1:6" ht="49.5">
      <c r="A257" s="12" t="s">
        <v>89</v>
      </c>
      <c r="B257" s="12" t="s">
        <v>329</v>
      </c>
      <c r="C257" s="16"/>
      <c r="D257" s="10" t="s">
        <v>246</v>
      </c>
      <c r="E257" s="42">
        <f>E258</f>
        <v>1235.6999999999998</v>
      </c>
      <c r="F257" s="42">
        <f>F258</f>
        <v>1235.7</v>
      </c>
    </row>
    <row r="258" spans="1:6" ht="33">
      <c r="A258" s="12" t="s">
        <v>89</v>
      </c>
      <c r="B258" s="12" t="s">
        <v>329</v>
      </c>
      <c r="C258" s="16">
        <v>600</v>
      </c>
      <c r="D258" s="10" t="s">
        <v>131</v>
      </c>
      <c r="E258" s="42">
        <f>'№8 (ведомст.)'!F356</f>
        <v>1235.6999999999998</v>
      </c>
      <c r="F258" s="42">
        <f>'№8 (ведомст.)'!G356</f>
        <v>1235.7</v>
      </c>
    </row>
    <row r="259" spans="1:6" ht="12.75">
      <c r="A259" s="12" t="s">
        <v>89</v>
      </c>
      <c r="B259" s="4">
        <v>9900000000</v>
      </c>
      <c r="C259" s="45"/>
      <c r="D259" s="31" t="s">
        <v>9</v>
      </c>
      <c r="E259" s="42">
        <f aca="true" t="shared" si="17" ref="E259:F261">E260</f>
        <v>100</v>
      </c>
      <c r="F259" s="42">
        <f t="shared" si="17"/>
        <v>100</v>
      </c>
    </row>
    <row r="260" spans="1:6" ht="33">
      <c r="A260" s="12" t="s">
        <v>89</v>
      </c>
      <c r="B260" s="4">
        <v>9950000000</v>
      </c>
      <c r="C260" s="44"/>
      <c r="D260" s="10" t="s">
        <v>504</v>
      </c>
      <c r="E260" s="42">
        <f t="shared" si="17"/>
        <v>100</v>
      </c>
      <c r="F260" s="42">
        <f t="shared" si="17"/>
        <v>100</v>
      </c>
    </row>
    <row r="261" spans="1:6" ht="33">
      <c r="A261" s="12" t="s">
        <v>89</v>
      </c>
      <c r="B261" s="4" t="s">
        <v>505</v>
      </c>
      <c r="C261" s="44"/>
      <c r="D261" s="10" t="s">
        <v>506</v>
      </c>
      <c r="E261" s="42">
        <f t="shared" si="17"/>
        <v>100</v>
      </c>
      <c r="F261" s="42">
        <f t="shared" si="17"/>
        <v>100</v>
      </c>
    </row>
    <row r="262" spans="1:6" ht="33">
      <c r="A262" s="12" t="s">
        <v>89</v>
      </c>
      <c r="B262" s="4" t="s">
        <v>505</v>
      </c>
      <c r="C262" s="16">
        <v>600</v>
      </c>
      <c r="D262" s="10" t="s">
        <v>131</v>
      </c>
      <c r="E262" s="42">
        <f>'№8 (ведомст.)'!F467</f>
        <v>100</v>
      </c>
      <c r="F262" s="42">
        <f>'№8 (ведомст.)'!G467</f>
        <v>100</v>
      </c>
    </row>
    <row r="263" spans="1:6" ht="12.75">
      <c r="A263" s="12" t="s">
        <v>74</v>
      </c>
      <c r="B263" s="12"/>
      <c r="C263" s="16"/>
      <c r="D263" s="10" t="s">
        <v>643</v>
      </c>
      <c r="E263" s="42">
        <f>E264</f>
        <v>9329.100000000002</v>
      </c>
      <c r="F263" s="42">
        <f>F264</f>
        <v>9069.1</v>
      </c>
    </row>
    <row r="264" spans="1:6" ht="43.15" customHeight="1">
      <c r="A264" s="12" t="s">
        <v>74</v>
      </c>
      <c r="B264" s="12" t="s">
        <v>330</v>
      </c>
      <c r="C264" s="16"/>
      <c r="D264" s="10" t="s">
        <v>127</v>
      </c>
      <c r="E264" s="42">
        <f>E273+E265+E290</f>
        <v>9329.100000000002</v>
      </c>
      <c r="F264" s="42">
        <f>F273+F265+F290</f>
        <v>9069.1</v>
      </c>
    </row>
    <row r="265" spans="1:6" ht="33">
      <c r="A265" s="12" t="s">
        <v>74</v>
      </c>
      <c r="B265" s="12" t="s">
        <v>331</v>
      </c>
      <c r="C265" s="16"/>
      <c r="D265" s="10" t="s">
        <v>128</v>
      </c>
      <c r="E265" s="42">
        <f>E266+E269+E271</f>
        <v>3347.7000000000003</v>
      </c>
      <c r="F265" s="42">
        <f>F266+F269+F271</f>
        <v>3347.4</v>
      </c>
    </row>
    <row r="266" spans="1:6" ht="33">
      <c r="A266" s="12" t="s">
        <v>74</v>
      </c>
      <c r="B266" s="12" t="s">
        <v>453</v>
      </c>
      <c r="C266" s="16"/>
      <c r="D266" s="41" t="s">
        <v>238</v>
      </c>
      <c r="E266" s="42">
        <f>E267+E268</f>
        <v>240.60000000000002</v>
      </c>
      <c r="F266" s="42">
        <f>F267+F268</f>
        <v>240.60000000000002</v>
      </c>
    </row>
    <row r="267" spans="1:6" ht="12.75">
      <c r="A267" s="12" t="s">
        <v>74</v>
      </c>
      <c r="B267" s="12" t="s">
        <v>453</v>
      </c>
      <c r="C267" s="16" t="s">
        <v>111</v>
      </c>
      <c r="D267" s="10" t="s">
        <v>112</v>
      </c>
      <c r="E267" s="42">
        <f>'№8 (ведомст.)'!F473</f>
        <v>144.9</v>
      </c>
      <c r="F267" s="42">
        <f>'№8 (ведомст.)'!G473</f>
        <v>144.9</v>
      </c>
    </row>
    <row r="268" spans="1:6" ht="33">
      <c r="A268" s="12" t="s">
        <v>74</v>
      </c>
      <c r="B268" s="12" t="s">
        <v>453</v>
      </c>
      <c r="C268" s="16">
        <v>600</v>
      </c>
      <c r="D268" s="10" t="s">
        <v>131</v>
      </c>
      <c r="E268" s="42">
        <f>'№8 (ведомст.)'!F474</f>
        <v>95.7</v>
      </c>
      <c r="F268" s="42">
        <f>'№8 (ведомст.)'!G474</f>
        <v>95.7</v>
      </c>
    </row>
    <row r="269" spans="1:6" ht="33">
      <c r="A269" s="12" t="s">
        <v>74</v>
      </c>
      <c r="B269" s="12" t="s">
        <v>498</v>
      </c>
      <c r="C269" s="16"/>
      <c r="D269" s="10" t="s">
        <v>502</v>
      </c>
      <c r="E269" s="42">
        <f>E270</f>
        <v>35.80000000000001</v>
      </c>
      <c r="F269" s="42">
        <f>F270</f>
        <v>35.5</v>
      </c>
    </row>
    <row r="270" spans="1:6" ht="12.75">
      <c r="A270" s="12" t="s">
        <v>74</v>
      </c>
      <c r="B270" s="12" t="s">
        <v>498</v>
      </c>
      <c r="C270" s="16" t="s">
        <v>111</v>
      </c>
      <c r="D270" s="10" t="s">
        <v>112</v>
      </c>
      <c r="E270" s="42">
        <f>'№8 (ведомст.)'!F476</f>
        <v>35.80000000000001</v>
      </c>
      <c r="F270" s="42">
        <f>'№8 (ведомст.)'!G476</f>
        <v>35.5</v>
      </c>
    </row>
    <row r="271" spans="1:6" ht="33">
      <c r="A271" s="12" t="s">
        <v>74</v>
      </c>
      <c r="B271" s="12" t="s">
        <v>499</v>
      </c>
      <c r="C271" s="16"/>
      <c r="D271" s="10" t="s">
        <v>497</v>
      </c>
      <c r="E271" s="42">
        <f>E272</f>
        <v>3071.3</v>
      </c>
      <c r="F271" s="42">
        <f>F272</f>
        <v>3071.3</v>
      </c>
    </row>
    <row r="272" spans="1:6" ht="33">
      <c r="A272" s="12" t="s">
        <v>74</v>
      </c>
      <c r="B272" s="12" t="s">
        <v>499</v>
      </c>
      <c r="C272" s="16">
        <v>600</v>
      </c>
      <c r="D272" s="10" t="s">
        <v>131</v>
      </c>
      <c r="E272" s="42">
        <f>'№8 (ведомст.)'!F478+'№8 (ведомст.)'!F362</f>
        <v>3071.3</v>
      </c>
      <c r="F272" s="42">
        <f>'№8 (ведомст.)'!G478+'№8 (ведомст.)'!G362</f>
        <v>3071.3</v>
      </c>
    </row>
    <row r="273" spans="1:6" ht="49.5">
      <c r="A273" s="12" t="s">
        <v>74</v>
      </c>
      <c r="B273" s="12" t="s">
        <v>332</v>
      </c>
      <c r="C273" s="16"/>
      <c r="D273" s="10" t="s">
        <v>152</v>
      </c>
      <c r="E273" s="42">
        <f>E274+E276+E278+E280+E282+E284+E288+E286</f>
        <v>5170.300000000001</v>
      </c>
      <c r="F273" s="42">
        <f>F274+F276+F278+F280+F282+F284+F288+F286</f>
        <v>5170.1</v>
      </c>
    </row>
    <row r="274" spans="1:6" ht="18.6" customHeight="1">
      <c r="A274" s="12" t="s">
        <v>74</v>
      </c>
      <c r="B274" s="9" t="s">
        <v>333</v>
      </c>
      <c r="C274" s="9"/>
      <c r="D274" s="41" t="s">
        <v>153</v>
      </c>
      <c r="E274" s="42">
        <f>E275</f>
        <v>55</v>
      </c>
      <c r="F274" s="42">
        <f>F275</f>
        <v>55</v>
      </c>
    </row>
    <row r="275" spans="1:6" ht="20.45" customHeight="1">
      <c r="A275" s="12" t="s">
        <v>74</v>
      </c>
      <c r="B275" s="9" t="s">
        <v>333</v>
      </c>
      <c r="C275" s="16" t="s">
        <v>111</v>
      </c>
      <c r="D275" s="10" t="s">
        <v>112</v>
      </c>
      <c r="E275" s="42">
        <f>'№8 (ведомст.)'!F366</f>
        <v>55</v>
      </c>
      <c r="F275" s="42">
        <f>'№8 (ведомст.)'!G366</f>
        <v>55</v>
      </c>
    </row>
    <row r="276" spans="1:6" ht="33">
      <c r="A276" s="12" t="s">
        <v>74</v>
      </c>
      <c r="B276" s="9" t="s">
        <v>334</v>
      </c>
      <c r="C276" s="9"/>
      <c r="D276" s="41" t="s">
        <v>154</v>
      </c>
      <c r="E276" s="42">
        <f>E277</f>
        <v>13</v>
      </c>
      <c r="F276" s="42">
        <f>F277</f>
        <v>12.8</v>
      </c>
    </row>
    <row r="277" spans="1:6" ht="33">
      <c r="A277" s="12" t="s">
        <v>74</v>
      </c>
      <c r="B277" s="9" t="s">
        <v>334</v>
      </c>
      <c r="C277" s="44" t="s">
        <v>108</v>
      </c>
      <c r="D277" s="10" t="s">
        <v>454</v>
      </c>
      <c r="E277" s="42">
        <f>'№8 (ведомст.)'!F367</f>
        <v>13</v>
      </c>
      <c r="F277" s="42">
        <f>'№8 (ведомст.)'!G367</f>
        <v>12.8</v>
      </c>
    </row>
    <row r="278" spans="1:6" ht="23.25" customHeight="1">
      <c r="A278" s="12" t="s">
        <v>74</v>
      </c>
      <c r="B278" s="9" t="s">
        <v>367</v>
      </c>
      <c r="C278" s="9"/>
      <c r="D278" s="41" t="s">
        <v>247</v>
      </c>
      <c r="E278" s="42">
        <f>E279</f>
        <v>20</v>
      </c>
      <c r="F278" s="42">
        <f>F279</f>
        <v>20</v>
      </c>
    </row>
    <row r="279" spans="1:6" ht="33">
      <c r="A279" s="12" t="s">
        <v>74</v>
      </c>
      <c r="B279" s="9" t="s">
        <v>367</v>
      </c>
      <c r="C279" s="44" t="s">
        <v>108</v>
      </c>
      <c r="D279" s="10" t="s">
        <v>454</v>
      </c>
      <c r="E279" s="42">
        <f>'№8 (ведомст.)'!F370</f>
        <v>20</v>
      </c>
      <c r="F279" s="42">
        <f>'№8 (ведомст.)'!G370</f>
        <v>20</v>
      </c>
    </row>
    <row r="280" spans="1:6" ht="22.15" customHeight="1">
      <c r="A280" s="12" t="s">
        <v>74</v>
      </c>
      <c r="B280" s="9" t="s">
        <v>335</v>
      </c>
      <c r="C280" s="9"/>
      <c r="D280" s="41" t="s">
        <v>155</v>
      </c>
      <c r="E280" s="42">
        <f>E281</f>
        <v>4655.900000000001</v>
      </c>
      <c r="F280" s="42">
        <f>F281</f>
        <v>4655.9</v>
      </c>
    </row>
    <row r="281" spans="1:6" ht="33">
      <c r="A281" s="12" t="s">
        <v>74</v>
      </c>
      <c r="B281" s="9" t="s">
        <v>335</v>
      </c>
      <c r="C281" s="16">
        <v>600</v>
      </c>
      <c r="D281" s="10" t="s">
        <v>131</v>
      </c>
      <c r="E281" s="42">
        <f>'№8 (ведомст.)'!F372</f>
        <v>4655.900000000001</v>
      </c>
      <c r="F281" s="42">
        <f>'№8 (ведомст.)'!G372</f>
        <v>4655.9</v>
      </c>
    </row>
    <row r="282" spans="1:6" ht="33">
      <c r="A282" s="12" t="s">
        <v>74</v>
      </c>
      <c r="B282" s="9" t="s">
        <v>336</v>
      </c>
      <c r="C282" s="9"/>
      <c r="D282" s="41" t="s">
        <v>156</v>
      </c>
      <c r="E282" s="42">
        <f>E283</f>
        <v>164.6</v>
      </c>
      <c r="F282" s="42">
        <f>F283</f>
        <v>164.6</v>
      </c>
    </row>
    <row r="283" spans="1:6" ht="33">
      <c r="A283" s="12" t="s">
        <v>74</v>
      </c>
      <c r="B283" s="9" t="s">
        <v>336</v>
      </c>
      <c r="C283" s="16">
        <v>600</v>
      </c>
      <c r="D283" s="10" t="s">
        <v>131</v>
      </c>
      <c r="E283" s="42">
        <f>'№8 (ведомст.)'!F374</f>
        <v>164.6</v>
      </c>
      <c r="F283" s="42">
        <f>'№8 (ведомст.)'!G374</f>
        <v>164.6</v>
      </c>
    </row>
    <row r="284" spans="1:6" ht="18" customHeight="1">
      <c r="A284" s="12" t="s">
        <v>74</v>
      </c>
      <c r="B284" s="9" t="s">
        <v>337</v>
      </c>
      <c r="C284" s="9"/>
      <c r="D284" s="41" t="s">
        <v>157</v>
      </c>
      <c r="E284" s="42">
        <f>E285</f>
        <v>46</v>
      </c>
      <c r="F284" s="42">
        <f>F285</f>
        <v>46</v>
      </c>
    </row>
    <row r="285" spans="1:6" ht="33">
      <c r="A285" s="12" t="s">
        <v>74</v>
      </c>
      <c r="B285" s="9" t="s">
        <v>337</v>
      </c>
      <c r="C285" s="16">
        <v>600</v>
      </c>
      <c r="D285" s="10" t="s">
        <v>131</v>
      </c>
      <c r="E285" s="42">
        <f>'№8 (ведомст.)'!F376</f>
        <v>46</v>
      </c>
      <c r="F285" s="42">
        <f>'№8 (ведомст.)'!G376</f>
        <v>46</v>
      </c>
    </row>
    <row r="286" spans="1:6" ht="33">
      <c r="A286" s="12" t="s">
        <v>74</v>
      </c>
      <c r="B286" s="9" t="s">
        <v>469</v>
      </c>
      <c r="C286" s="9"/>
      <c r="D286" s="41" t="s">
        <v>470</v>
      </c>
      <c r="E286" s="42">
        <f>E287</f>
        <v>152.8</v>
      </c>
      <c r="F286" s="42">
        <f>F287</f>
        <v>152.8</v>
      </c>
    </row>
    <row r="287" spans="1:6" ht="33">
      <c r="A287" s="12" t="s">
        <v>74</v>
      </c>
      <c r="B287" s="9" t="s">
        <v>469</v>
      </c>
      <c r="C287" s="16">
        <v>600</v>
      </c>
      <c r="D287" s="10" t="s">
        <v>131</v>
      </c>
      <c r="E287" s="42">
        <f>'№8 (ведомст.)'!F378</f>
        <v>152.8</v>
      </c>
      <c r="F287" s="42">
        <f>'№8 (ведомст.)'!G378</f>
        <v>152.8</v>
      </c>
    </row>
    <row r="288" spans="1:6" ht="49.5">
      <c r="A288" s="12" t="s">
        <v>74</v>
      </c>
      <c r="B288" s="9" t="s">
        <v>381</v>
      </c>
      <c r="C288" s="9"/>
      <c r="D288" s="41" t="s">
        <v>158</v>
      </c>
      <c r="E288" s="42">
        <f>E289</f>
        <v>63</v>
      </c>
      <c r="F288" s="42">
        <f>F289</f>
        <v>63</v>
      </c>
    </row>
    <row r="289" spans="1:6" ht="33">
      <c r="A289" s="12" t="s">
        <v>74</v>
      </c>
      <c r="B289" s="9" t="s">
        <v>381</v>
      </c>
      <c r="C289" s="16">
        <v>600</v>
      </c>
      <c r="D289" s="10" t="s">
        <v>131</v>
      </c>
      <c r="E289" s="42">
        <f>'№8 (ведомст.)'!F381</f>
        <v>63</v>
      </c>
      <c r="F289" s="42">
        <f>'№8 (ведомст.)'!G381</f>
        <v>63</v>
      </c>
    </row>
    <row r="290" spans="1:6" ht="66">
      <c r="A290" s="12" t="s">
        <v>74</v>
      </c>
      <c r="B290" s="12" t="s">
        <v>486</v>
      </c>
      <c r="C290" s="16"/>
      <c r="D290" s="10" t="s">
        <v>487</v>
      </c>
      <c r="E290" s="42">
        <f>E291</f>
        <v>811.1</v>
      </c>
      <c r="F290" s="42">
        <f>F291</f>
        <v>551.6</v>
      </c>
    </row>
    <row r="291" spans="1:6" ht="72" customHeight="1">
      <c r="A291" s="12" t="s">
        <v>74</v>
      </c>
      <c r="B291" s="12" t="s">
        <v>491</v>
      </c>
      <c r="C291" s="16"/>
      <c r="D291" s="10" t="s">
        <v>490</v>
      </c>
      <c r="E291" s="42">
        <f>E292</f>
        <v>811.1</v>
      </c>
      <c r="F291" s="42">
        <f>F292</f>
        <v>551.6</v>
      </c>
    </row>
    <row r="292" spans="1:6" ht="33">
      <c r="A292" s="12" t="s">
        <v>74</v>
      </c>
      <c r="B292" s="12" t="s">
        <v>491</v>
      </c>
      <c r="C292" s="9" t="s">
        <v>108</v>
      </c>
      <c r="D292" s="10" t="s">
        <v>454</v>
      </c>
      <c r="E292" s="42">
        <f>'№8 (ведомст.)'!F189</f>
        <v>811.1</v>
      </c>
      <c r="F292" s="42">
        <f>'№8 (ведомст.)'!G189</f>
        <v>551.6</v>
      </c>
    </row>
    <row r="293" spans="1:6" ht="21.6" customHeight="1">
      <c r="A293" s="12" t="s">
        <v>90</v>
      </c>
      <c r="B293" s="12"/>
      <c r="C293" s="16"/>
      <c r="D293" s="10" t="s">
        <v>29</v>
      </c>
      <c r="E293" s="42">
        <f aca="true" t="shared" si="18" ref="E293:F294">E294</f>
        <v>14615.6</v>
      </c>
      <c r="F293" s="42">
        <f t="shared" si="18"/>
        <v>14615.5</v>
      </c>
    </row>
    <row r="294" spans="1:6" ht="42.6" customHeight="1">
      <c r="A294" s="12" t="s">
        <v>90</v>
      </c>
      <c r="B294" s="12" t="s">
        <v>330</v>
      </c>
      <c r="C294" s="16"/>
      <c r="D294" s="10" t="s">
        <v>127</v>
      </c>
      <c r="E294" s="42">
        <f t="shared" si="18"/>
        <v>14615.6</v>
      </c>
      <c r="F294" s="42">
        <f t="shared" si="18"/>
        <v>14615.5</v>
      </c>
    </row>
    <row r="295" spans="1:6" ht="12.75">
      <c r="A295" s="12" t="s">
        <v>90</v>
      </c>
      <c r="B295" s="9" t="s">
        <v>356</v>
      </c>
      <c r="C295" s="9"/>
      <c r="D295" s="41" t="s">
        <v>5</v>
      </c>
      <c r="E295" s="42">
        <f>E296+E298+E303</f>
        <v>14615.6</v>
      </c>
      <c r="F295" s="42">
        <f>F296+F298+F303</f>
        <v>14615.5</v>
      </c>
    </row>
    <row r="296" spans="1:6" ht="66">
      <c r="A296" s="12" t="s">
        <v>90</v>
      </c>
      <c r="B296" s="9" t="s">
        <v>357</v>
      </c>
      <c r="C296" s="9"/>
      <c r="D296" s="30" t="s">
        <v>113</v>
      </c>
      <c r="E296" s="42">
        <f>E297</f>
        <v>1906.9</v>
      </c>
      <c r="F296" s="42">
        <f>F297</f>
        <v>1906.9</v>
      </c>
    </row>
    <row r="297" spans="1:6" ht="66">
      <c r="A297" s="12" t="s">
        <v>90</v>
      </c>
      <c r="B297" s="9" t="s">
        <v>357</v>
      </c>
      <c r="C297" s="44" t="s">
        <v>107</v>
      </c>
      <c r="D297" s="10" t="s">
        <v>6</v>
      </c>
      <c r="E297" s="42">
        <f>'№8 (ведомст.)'!F484</f>
        <v>1906.9</v>
      </c>
      <c r="F297" s="42">
        <f>'№8 (ведомст.)'!G484</f>
        <v>1906.9</v>
      </c>
    </row>
    <row r="298" spans="1:6" ht="44.45" customHeight="1">
      <c r="A298" s="12" t="s">
        <v>90</v>
      </c>
      <c r="B298" s="9" t="s">
        <v>358</v>
      </c>
      <c r="C298" s="9"/>
      <c r="D298" s="30" t="s">
        <v>142</v>
      </c>
      <c r="E298" s="42">
        <f>E299+E300+E302+E301</f>
        <v>8671.6</v>
      </c>
      <c r="F298" s="42">
        <f>F299+F300+F302+F301</f>
        <v>8671.6</v>
      </c>
    </row>
    <row r="299" spans="1:6" ht="66">
      <c r="A299" s="12" t="s">
        <v>90</v>
      </c>
      <c r="B299" s="9" t="s">
        <v>358</v>
      </c>
      <c r="C299" s="44" t="s">
        <v>107</v>
      </c>
      <c r="D299" s="10" t="s">
        <v>6</v>
      </c>
      <c r="E299" s="42">
        <f>'№8 (ведомст.)'!F486</f>
        <v>6545</v>
      </c>
      <c r="F299" s="42">
        <f>'№8 (ведомст.)'!G486</f>
        <v>6545</v>
      </c>
    </row>
    <row r="300" spans="1:6" ht="33">
      <c r="A300" s="12" t="s">
        <v>90</v>
      </c>
      <c r="B300" s="9" t="s">
        <v>358</v>
      </c>
      <c r="C300" s="44" t="s">
        <v>108</v>
      </c>
      <c r="D300" s="10" t="s">
        <v>454</v>
      </c>
      <c r="E300" s="42">
        <f>'№8 (ведомст.)'!F487</f>
        <v>1862.8000000000002</v>
      </c>
      <c r="F300" s="42">
        <f>'№8 (ведомст.)'!G487</f>
        <v>1862.8</v>
      </c>
    </row>
    <row r="301" spans="1:6" ht="12.75">
      <c r="A301" s="12" t="s">
        <v>90</v>
      </c>
      <c r="B301" s="9" t="s">
        <v>358</v>
      </c>
      <c r="C301" s="16" t="s">
        <v>111</v>
      </c>
      <c r="D301" s="10" t="s">
        <v>112</v>
      </c>
      <c r="E301" s="42">
        <f>'№8 (ведомст.)'!F488</f>
        <v>113.6</v>
      </c>
      <c r="F301" s="42">
        <f>'№8 (ведомст.)'!G488</f>
        <v>113.6</v>
      </c>
    </row>
    <row r="302" spans="1:6" ht="21" customHeight="1">
      <c r="A302" s="12" t="s">
        <v>90</v>
      </c>
      <c r="B302" s="9" t="s">
        <v>358</v>
      </c>
      <c r="C302" s="44" t="s">
        <v>109</v>
      </c>
      <c r="D302" s="46" t="s">
        <v>110</v>
      </c>
      <c r="E302" s="42">
        <f>'№8 (ведомст.)'!F489</f>
        <v>150.20000000000002</v>
      </c>
      <c r="F302" s="42">
        <f>'№8 (ведомст.)'!G489</f>
        <v>150.2</v>
      </c>
    </row>
    <row r="303" spans="1:6" ht="40.15" customHeight="1">
      <c r="A303" s="12" t="s">
        <v>90</v>
      </c>
      <c r="B303" s="9" t="s">
        <v>359</v>
      </c>
      <c r="C303" s="9"/>
      <c r="D303" s="30" t="s">
        <v>143</v>
      </c>
      <c r="E303" s="42">
        <f>E304+E305+E306</f>
        <v>4037.1000000000004</v>
      </c>
      <c r="F303" s="42">
        <f>F304+F305+F306</f>
        <v>4037</v>
      </c>
    </row>
    <row r="304" spans="1:6" ht="66">
      <c r="A304" s="12" t="s">
        <v>90</v>
      </c>
      <c r="B304" s="9" t="s">
        <v>359</v>
      </c>
      <c r="C304" s="44" t="s">
        <v>107</v>
      </c>
      <c r="D304" s="10" t="s">
        <v>6</v>
      </c>
      <c r="E304" s="42">
        <f>'№8 (ведомст.)'!F491</f>
        <v>3313.1000000000004</v>
      </c>
      <c r="F304" s="42">
        <f>'№8 (ведомст.)'!G491</f>
        <v>3313</v>
      </c>
    </row>
    <row r="305" spans="1:6" ht="33">
      <c r="A305" s="12" t="s">
        <v>90</v>
      </c>
      <c r="B305" s="9" t="s">
        <v>359</v>
      </c>
      <c r="C305" s="44" t="s">
        <v>108</v>
      </c>
      <c r="D305" s="10" t="s">
        <v>454</v>
      </c>
      <c r="E305" s="42">
        <f>'№8 (ведомст.)'!F492</f>
        <v>589.6999999999999</v>
      </c>
      <c r="F305" s="42">
        <f>'№8 (ведомст.)'!G492</f>
        <v>589.7</v>
      </c>
    </row>
    <row r="306" spans="1:6" ht="12.75">
      <c r="A306" s="12" t="s">
        <v>90</v>
      </c>
      <c r="B306" s="9" t="s">
        <v>359</v>
      </c>
      <c r="C306" s="16" t="s">
        <v>111</v>
      </c>
      <c r="D306" s="10" t="s">
        <v>112</v>
      </c>
      <c r="E306" s="42">
        <f>'№8 (ведомст.)'!F493</f>
        <v>134.3</v>
      </c>
      <c r="F306" s="42">
        <f>'№8 (ведомст.)'!G493</f>
        <v>134.3</v>
      </c>
    </row>
    <row r="307" spans="1:6" s="56" customFormat="1" ht="12.75">
      <c r="A307" s="33" t="s">
        <v>77</v>
      </c>
      <c r="B307" s="33"/>
      <c r="C307" s="33"/>
      <c r="D307" s="34" t="s">
        <v>124</v>
      </c>
      <c r="E307" s="52">
        <f aca="true" t="shared" si="19" ref="E307:F308">E308</f>
        <v>23094.1</v>
      </c>
      <c r="F307" s="52">
        <f t="shared" si="19"/>
        <v>22992.5</v>
      </c>
    </row>
    <row r="308" spans="1:6" ht="12.75">
      <c r="A308" s="32" t="s">
        <v>78</v>
      </c>
      <c r="B308" s="9"/>
      <c r="C308" s="44"/>
      <c r="D308" s="10" t="s">
        <v>30</v>
      </c>
      <c r="E308" s="42">
        <f t="shared" si="19"/>
        <v>23094.1</v>
      </c>
      <c r="F308" s="42">
        <f t="shared" si="19"/>
        <v>22992.5</v>
      </c>
    </row>
    <row r="309" spans="1:6" ht="36.6" customHeight="1">
      <c r="A309" s="32" t="s">
        <v>78</v>
      </c>
      <c r="B309" s="9" t="s">
        <v>292</v>
      </c>
      <c r="C309" s="9"/>
      <c r="D309" s="41" t="s">
        <v>174</v>
      </c>
      <c r="E309" s="42">
        <f>E310</f>
        <v>23094.1</v>
      </c>
      <c r="F309" s="42">
        <f>F310</f>
        <v>22992.5</v>
      </c>
    </row>
    <row r="310" spans="1:6" ht="34.9" customHeight="1">
      <c r="A310" s="32" t="s">
        <v>78</v>
      </c>
      <c r="B310" s="9" t="s">
        <v>293</v>
      </c>
      <c r="C310" s="9"/>
      <c r="D310" s="41" t="s">
        <v>175</v>
      </c>
      <c r="E310" s="42">
        <f>E317+E325+E331+E319+E311+E329+E323+E313+E315+E327</f>
        <v>23094.1</v>
      </c>
      <c r="F310" s="42">
        <f>F317+F325+F331+F319+F311+F329+F323+F313+F315+F327</f>
        <v>22992.5</v>
      </c>
    </row>
    <row r="311" spans="1:6" ht="34.9" customHeight="1">
      <c r="A311" s="32" t="s">
        <v>78</v>
      </c>
      <c r="B311" s="9" t="s">
        <v>297</v>
      </c>
      <c r="C311" s="9"/>
      <c r="D311" s="10" t="s">
        <v>245</v>
      </c>
      <c r="E311" s="42">
        <f>E312</f>
        <v>837.5</v>
      </c>
      <c r="F311" s="42">
        <f>F312</f>
        <v>837.5</v>
      </c>
    </row>
    <row r="312" spans="1:6" ht="34.9" customHeight="1">
      <c r="A312" s="32" t="s">
        <v>78</v>
      </c>
      <c r="B312" s="9" t="s">
        <v>297</v>
      </c>
      <c r="C312" s="9" t="s">
        <v>108</v>
      </c>
      <c r="D312" s="10" t="s">
        <v>454</v>
      </c>
      <c r="E312" s="42">
        <f>'№8 (ведомст.)'!F195</f>
        <v>837.5</v>
      </c>
      <c r="F312" s="42">
        <f>'№8 (ведомст.)'!G195</f>
        <v>837.5</v>
      </c>
    </row>
    <row r="313" spans="1:6" ht="34.9" customHeight="1">
      <c r="A313" s="32" t="s">
        <v>78</v>
      </c>
      <c r="B313" s="9" t="s">
        <v>550</v>
      </c>
      <c r="C313" s="9"/>
      <c r="D313" s="10" t="s">
        <v>552</v>
      </c>
      <c r="E313" s="42">
        <f>E314</f>
        <v>55.5</v>
      </c>
      <c r="F313" s="42">
        <f>F314</f>
        <v>55.5</v>
      </c>
    </row>
    <row r="314" spans="1:6" ht="34.9" customHeight="1">
      <c r="A314" s="32" t="s">
        <v>78</v>
      </c>
      <c r="B314" s="9" t="s">
        <v>550</v>
      </c>
      <c r="C314" s="9" t="s">
        <v>108</v>
      </c>
      <c r="D314" s="10" t="s">
        <v>454</v>
      </c>
      <c r="E314" s="42">
        <f>'№8 (ведомст.)'!F198</f>
        <v>55.5</v>
      </c>
      <c r="F314" s="42">
        <f>'№8 (ведомст.)'!G198</f>
        <v>55.5</v>
      </c>
    </row>
    <row r="315" spans="1:6" ht="34.9" customHeight="1">
      <c r="A315" s="32" t="s">
        <v>78</v>
      </c>
      <c r="B315" s="9" t="s">
        <v>551</v>
      </c>
      <c r="C315" s="9"/>
      <c r="D315" s="10" t="s">
        <v>553</v>
      </c>
      <c r="E315" s="42">
        <f>E316</f>
        <v>13</v>
      </c>
      <c r="F315" s="42">
        <f>F316</f>
        <v>13</v>
      </c>
    </row>
    <row r="316" spans="1:6" ht="34.9" customHeight="1">
      <c r="A316" s="32" t="s">
        <v>78</v>
      </c>
      <c r="B316" s="9" t="s">
        <v>551</v>
      </c>
      <c r="C316" s="9" t="s">
        <v>108</v>
      </c>
      <c r="D316" s="10" t="s">
        <v>454</v>
      </c>
      <c r="E316" s="42">
        <f>'№8 (ведомст.)'!F200</f>
        <v>13</v>
      </c>
      <c r="F316" s="42">
        <f>'№8 (ведомст.)'!G200</f>
        <v>13</v>
      </c>
    </row>
    <row r="317" spans="1:6" ht="35.45" customHeight="1">
      <c r="A317" s="32" t="s">
        <v>78</v>
      </c>
      <c r="B317" s="9" t="s">
        <v>362</v>
      </c>
      <c r="C317" s="9"/>
      <c r="D317" s="41" t="s">
        <v>176</v>
      </c>
      <c r="E317" s="42">
        <f>E318</f>
        <v>150</v>
      </c>
      <c r="F317" s="42">
        <f>F318</f>
        <v>149.9</v>
      </c>
    </row>
    <row r="318" spans="1:6" ht="38.45" customHeight="1">
      <c r="A318" s="32" t="s">
        <v>78</v>
      </c>
      <c r="B318" s="9" t="s">
        <v>362</v>
      </c>
      <c r="C318" s="44" t="s">
        <v>108</v>
      </c>
      <c r="D318" s="10" t="s">
        <v>454</v>
      </c>
      <c r="E318" s="42">
        <f>'№8 (ведомст.)'!F202</f>
        <v>150</v>
      </c>
      <c r="F318" s="42">
        <f>'№8 (ведомст.)'!G202</f>
        <v>149.9</v>
      </c>
    </row>
    <row r="319" spans="1:6" ht="23.25" customHeight="1">
      <c r="A319" s="32" t="s">
        <v>78</v>
      </c>
      <c r="B319" s="9" t="s">
        <v>298</v>
      </c>
      <c r="C319" s="9"/>
      <c r="D319" s="41" t="s">
        <v>179</v>
      </c>
      <c r="E319" s="42">
        <f>E320+E321+E322</f>
        <v>8499.8</v>
      </c>
      <c r="F319" s="42">
        <f>F320+F321+F322</f>
        <v>8398.3</v>
      </c>
    </row>
    <row r="320" spans="1:6" ht="38.45" customHeight="1">
      <c r="A320" s="32" t="s">
        <v>78</v>
      </c>
      <c r="B320" s="9" t="s">
        <v>298</v>
      </c>
      <c r="C320" s="9" t="s">
        <v>107</v>
      </c>
      <c r="D320" s="10" t="s">
        <v>6</v>
      </c>
      <c r="E320" s="42">
        <f>'№8 (ведомст.)'!F204</f>
        <v>7044.7</v>
      </c>
      <c r="F320" s="42">
        <f>'№8 (ведомст.)'!G204</f>
        <v>7043.2</v>
      </c>
    </row>
    <row r="321" spans="1:6" ht="38.45" customHeight="1">
      <c r="A321" s="32" t="s">
        <v>78</v>
      </c>
      <c r="B321" s="9" t="s">
        <v>298</v>
      </c>
      <c r="C321" s="9" t="s">
        <v>108</v>
      </c>
      <c r="D321" s="10" t="s">
        <v>454</v>
      </c>
      <c r="E321" s="42">
        <f>'№8 (ведомст.)'!F205</f>
        <v>1358.2</v>
      </c>
      <c r="F321" s="42">
        <f>'№8 (ведомст.)'!G205</f>
        <v>1258.2</v>
      </c>
    </row>
    <row r="322" spans="1:6" ht="24.75" customHeight="1">
      <c r="A322" s="32" t="s">
        <v>78</v>
      </c>
      <c r="B322" s="9" t="s">
        <v>298</v>
      </c>
      <c r="C322" s="9" t="s">
        <v>109</v>
      </c>
      <c r="D322" s="10" t="s">
        <v>110</v>
      </c>
      <c r="E322" s="42">
        <f>'№8 (ведомст.)'!F206</f>
        <v>96.9</v>
      </c>
      <c r="F322" s="42">
        <f>'№8 (ведомст.)'!G206</f>
        <v>96.9</v>
      </c>
    </row>
    <row r="323" spans="1:6" ht="49.5">
      <c r="A323" s="32" t="s">
        <v>78</v>
      </c>
      <c r="B323" s="9" t="s">
        <v>544</v>
      </c>
      <c r="C323" s="9"/>
      <c r="D323" s="41" t="s">
        <v>545</v>
      </c>
      <c r="E323" s="42">
        <f>E324</f>
        <v>14.1</v>
      </c>
      <c r="F323" s="42">
        <f>F324</f>
        <v>14.1</v>
      </c>
    </row>
    <row r="324" spans="1:6" ht="33">
      <c r="A324" s="32" t="s">
        <v>78</v>
      </c>
      <c r="B324" s="9" t="s">
        <v>544</v>
      </c>
      <c r="C324" s="9" t="s">
        <v>108</v>
      </c>
      <c r="D324" s="10" t="s">
        <v>454</v>
      </c>
      <c r="E324" s="42">
        <f>'№8 (ведомст.)'!F208</f>
        <v>14.1</v>
      </c>
      <c r="F324" s="42">
        <f>'№8 (ведомст.)'!G208</f>
        <v>14.1</v>
      </c>
    </row>
    <row r="325" spans="1:6" ht="33">
      <c r="A325" s="32" t="s">
        <v>78</v>
      </c>
      <c r="B325" s="9" t="s">
        <v>295</v>
      </c>
      <c r="C325" s="9"/>
      <c r="D325" s="41" t="s">
        <v>177</v>
      </c>
      <c r="E325" s="42">
        <f>E326</f>
        <v>12878.300000000001</v>
      </c>
      <c r="F325" s="42">
        <f>F326</f>
        <v>12878.3</v>
      </c>
    </row>
    <row r="326" spans="1:6" ht="33">
      <c r="A326" s="32" t="s">
        <v>78</v>
      </c>
      <c r="B326" s="9" t="s">
        <v>295</v>
      </c>
      <c r="C326" s="16">
        <v>600</v>
      </c>
      <c r="D326" s="10" t="s">
        <v>131</v>
      </c>
      <c r="E326" s="42">
        <f>'№8 (ведомст.)'!F211</f>
        <v>12878.300000000001</v>
      </c>
      <c r="F326" s="42">
        <f>'№8 (ведомст.)'!G211</f>
        <v>12878.3</v>
      </c>
    </row>
    <row r="327" spans="1:6" ht="33">
      <c r="A327" s="32" t="s">
        <v>78</v>
      </c>
      <c r="B327" s="9" t="s">
        <v>558</v>
      </c>
      <c r="C327" s="16"/>
      <c r="D327" s="10" t="s">
        <v>559</v>
      </c>
      <c r="E327" s="42">
        <f>E328</f>
        <v>46</v>
      </c>
      <c r="F327" s="42">
        <f>F328</f>
        <v>46</v>
      </c>
    </row>
    <row r="328" spans="1:6" ht="33">
      <c r="A328" s="32" t="s">
        <v>78</v>
      </c>
      <c r="B328" s="9" t="s">
        <v>558</v>
      </c>
      <c r="C328" s="16">
        <v>600</v>
      </c>
      <c r="D328" s="10" t="s">
        <v>131</v>
      </c>
      <c r="E328" s="42">
        <f>'№8 (ведомст.)'!F213</f>
        <v>46</v>
      </c>
      <c r="F328" s="42">
        <f>'№8 (ведомст.)'!G213</f>
        <v>46</v>
      </c>
    </row>
    <row r="329" spans="1:6" ht="49.5">
      <c r="A329" s="32" t="s">
        <v>78</v>
      </c>
      <c r="B329" s="9" t="s">
        <v>457</v>
      </c>
      <c r="C329" s="16"/>
      <c r="D329" s="41" t="s">
        <v>458</v>
      </c>
      <c r="E329" s="42">
        <f>E330</f>
        <v>568.9</v>
      </c>
      <c r="F329" s="42">
        <f>F330</f>
        <v>568.9</v>
      </c>
    </row>
    <row r="330" spans="1:6" ht="33">
      <c r="A330" s="32" t="s">
        <v>78</v>
      </c>
      <c r="B330" s="9" t="s">
        <v>457</v>
      </c>
      <c r="C330" s="16">
        <v>600</v>
      </c>
      <c r="D330" s="10" t="s">
        <v>131</v>
      </c>
      <c r="E330" s="42">
        <f>'№8 (ведомст.)'!F215</f>
        <v>568.9</v>
      </c>
      <c r="F330" s="42">
        <f>'№8 (ведомст.)'!G215</f>
        <v>568.9</v>
      </c>
    </row>
    <row r="331" spans="1:6" ht="49.5">
      <c r="A331" s="32" t="s">
        <v>78</v>
      </c>
      <c r="B331" s="9" t="s">
        <v>296</v>
      </c>
      <c r="C331" s="9"/>
      <c r="D331" s="41" t="s">
        <v>178</v>
      </c>
      <c r="E331" s="42">
        <f>E332</f>
        <v>31</v>
      </c>
      <c r="F331" s="42">
        <f>F332</f>
        <v>31</v>
      </c>
    </row>
    <row r="332" spans="1:6" ht="33">
      <c r="A332" s="32" t="s">
        <v>78</v>
      </c>
      <c r="B332" s="9" t="s">
        <v>296</v>
      </c>
      <c r="C332" s="16">
        <v>600</v>
      </c>
      <c r="D332" s="10" t="s">
        <v>131</v>
      </c>
      <c r="E332" s="42">
        <f>'№8 (ведомст.)'!F218</f>
        <v>31</v>
      </c>
      <c r="F332" s="42">
        <f>'№8 (ведомст.)'!G218</f>
        <v>31</v>
      </c>
    </row>
    <row r="333" spans="1:6" s="56" customFormat="1" ht="12.75">
      <c r="A333" s="33" t="s">
        <v>75</v>
      </c>
      <c r="B333" s="33"/>
      <c r="C333" s="33"/>
      <c r="D333" s="34" t="s">
        <v>67</v>
      </c>
      <c r="E333" s="52">
        <f>E334+E339+E358</f>
        <v>19784.5</v>
      </c>
      <c r="F333" s="52">
        <f>F334+F339+F358</f>
        <v>19686.6</v>
      </c>
    </row>
    <row r="334" spans="1:6" ht="12.75">
      <c r="A334" s="16">
        <v>1001</v>
      </c>
      <c r="B334" s="12"/>
      <c r="C334" s="16"/>
      <c r="D334" s="10" t="s">
        <v>68</v>
      </c>
      <c r="E334" s="42">
        <f aca="true" t="shared" si="20" ref="E334:F337">E335</f>
        <v>1410.8000000000002</v>
      </c>
      <c r="F334" s="42">
        <f t="shared" si="20"/>
        <v>1410.8</v>
      </c>
    </row>
    <row r="335" spans="1:6" ht="49.5">
      <c r="A335" s="12" t="s">
        <v>91</v>
      </c>
      <c r="B335" s="9" t="s">
        <v>248</v>
      </c>
      <c r="C335" s="32"/>
      <c r="D335" s="30" t="s">
        <v>229</v>
      </c>
      <c r="E335" s="42">
        <f t="shared" si="20"/>
        <v>1410.8000000000002</v>
      </c>
      <c r="F335" s="42">
        <f t="shared" si="20"/>
        <v>1410.8</v>
      </c>
    </row>
    <row r="336" spans="1:6" ht="19.9" customHeight="1">
      <c r="A336" s="12" t="s">
        <v>91</v>
      </c>
      <c r="B336" s="9" t="s">
        <v>299</v>
      </c>
      <c r="C336" s="32"/>
      <c r="D336" s="10" t="s">
        <v>181</v>
      </c>
      <c r="E336" s="42">
        <f t="shared" si="20"/>
        <v>1410.8000000000002</v>
      </c>
      <c r="F336" s="42">
        <f t="shared" si="20"/>
        <v>1410.8</v>
      </c>
    </row>
    <row r="337" spans="1:6" ht="49.5">
      <c r="A337" s="12" t="s">
        <v>91</v>
      </c>
      <c r="B337" s="9" t="s">
        <v>300</v>
      </c>
      <c r="C337" s="32"/>
      <c r="D337" s="10" t="s">
        <v>106</v>
      </c>
      <c r="E337" s="42">
        <f t="shared" si="20"/>
        <v>1410.8000000000002</v>
      </c>
      <c r="F337" s="42">
        <f t="shared" si="20"/>
        <v>1410.8</v>
      </c>
    </row>
    <row r="338" spans="1:6" ht="18.6" customHeight="1">
      <c r="A338" s="12" t="s">
        <v>91</v>
      </c>
      <c r="B338" s="9" t="s">
        <v>300</v>
      </c>
      <c r="C338" s="16" t="s">
        <v>111</v>
      </c>
      <c r="D338" s="10" t="s">
        <v>112</v>
      </c>
      <c r="E338" s="42">
        <f>'№8 (ведомст.)'!F225</f>
        <v>1410.8000000000002</v>
      </c>
      <c r="F338" s="42">
        <f>'№8 (ведомст.)'!G225</f>
        <v>1410.8</v>
      </c>
    </row>
    <row r="339" spans="1:6" ht="21.6" customHeight="1">
      <c r="A339" s="12" t="s">
        <v>76</v>
      </c>
      <c r="B339" s="12"/>
      <c r="C339" s="16"/>
      <c r="D339" s="10" t="s">
        <v>70</v>
      </c>
      <c r="E339" s="42">
        <f>E340+E348</f>
        <v>4021</v>
      </c>
      <c r="F339" s="42">
        <f>F340+F348</f>
        <v>4017.2</v>
      </c>
    </row>
    <row r="340" spans="1:6" ht="54.6" customHeight="1">
      <c r="A340" s="12" t="s">
        <v>76</v>
      </c>
      <c r="B340" s="9" t="s">
        <v>284</v>
      </c>
      <c r="C340" s="16"/>
      <c r="D340" s="10" t="s">
        <v>173</v>
      </c>
      <c r="E340" s="42">
        <f>E341</f>
        <v>3491.2</v>
      </c>
      <c r="F340" s="42">
        <f>F341</f>
        <v>3491.2</v>
      </c>
    </row>
    <row r="341" spans="1:6" ht="21.75" customHeight="1">
      <c r="A341" s="12" t="s">
        <v>76</v>
      </c>
      <c r="B341" s="9" t="s">
        <v>338</v>
      </c>
      <c r="C341" s="16"/>
      <c r="D341" s="10" t="s">
        <v>201</v>
      </c>
      <c r="E341" s="42">
        <f>E342+E344+E346</f>
        <v>3491.2</v>
      </c>
      <c r="F341" s="42">
        <f>F342+F344+F346</f>
        <v>3491.2</v>
      </c>
    </row>
    <row r="342" spans="1:6" ht="33">
      <c r="A342" s="12" t="s">
        <v>76</v>
      </c>
      <c r="B342" s="9" t="s">
        <v>397</v>
      </c>
      <c r="C342" s="16"/>
      <c r="D342" s="10" t="s">
        <v>202</v>
      </c>
      <c r="E342" s="42">
        <f>E343</f>
        <v>1798.2</v>
      </c>
      <c r="F342" s="42">
        <f>F343</f>
        <v>1798.2</v>
      </c>
    </row>
    <row r="343" spans="1:6" ht="24" customHeight="1">
      <c r="A343" s="12" t="s">
        <v>76</v>
      </c>
      <c r="B343" s="9" t="s">
        <v>397</v>
      </c>
      <c r="C343" s="16" t="s">
        <v>111</v>
      </c>
      <c r="D343" s="10" t="s">
        <v>112</v>
      </c>
      <c r="E343" s="42">
        <f>'№8 (ведомст.)'!F388</f>
        <v>1798.2</v>
      </c>
      <c r="F343" s="42">
        <f>'№8 (ведомст.)'!G388</f>
        <v>1798.2</v>
      </c>
    </row>
    <row r="344" spans="1:6" ht="33">
      <c r="A344" s="12" t="s">
        <v>76</v>
      </c>
      <c r="B344" s="9" t="s">
        <v>541</v>
      </c>
      <c r="C344" s="16"/>
      <c r="D344" s="10" t="s">
        <v>540</v>
      </c>
      <c r="E344" s="42">
        <f>E345</f>
        <v>418.9</v>
      </c>
      <c r="F344" s="42">
        <f>F345</f>
        <v>418.9</v>
      </c>
    </row>
    <row r="345" spans="1:6" ht="12.75">
      <c r="A345" s="12" t="s">
        <v>76</v>
      </c>
      <c r="B345" s="9" t="s">
        <v>541</v>
      </c>
      <c r="C345" s="16" t="s">
        <v>111</v>
      </c>
      <c r="D345" s="10" t="s">
        <v>112</v>
      </c>
      <c r="E345" s="42">
        <f>'№8 (ведомст.)'!F390</f>
        <v>418.9</v>
      </c>
      <c r="F345" s="42">
        <f>'№8 (ведомст.)'!G390</f>
        <v>418.9</v>
      </c>
    </row>
    <row r="346" spans="1:6" ht="33">
      <c r="A346" s="12" t="s">
        <v>76</v>
      </c>
      <c r="B346" s="9" t="s">
        <v>543</v>
      </c>
      <c r="C346" s="16"/>
      <c r="D346" s="10" t="s">
        <v>542</v>
      </c>
      <c r="E346" s="42">
        <f>E347</f>
        <v>1274.1</v>
      </c>
      <c r="F346" s="42">
        <f>F347</f>
        <v>1274.1</v>
      </c>
    </row>
    <row r="347" spans="1:6" ht="12.75">
      <c r="A347" s="12" t="s">
        <v>76</v>
      </c>
      <c r="B347" s="9" t="s">
        <v>543</v>
      </c>
      <c r="C347" s="16" t="s">
        <v>111</v>
      </c>
      <c r="D347" s="10" t="s">
        <v>112</v>
      </c>
      <c r="E347" s="42">
        <f>'№8 (ведомст.)'!F392</f>
        <v>1274.1</v>
      </c>
      <c r="F347" s="42">
        <f>'№8 (ведомст.)'!G392</f>
        <v>1274.1</v>
      </c>
    </row>
    <row r="348" spans="1:6" ht="49.5">
      <c r="A348" s="12" t="s">
        <v>76</v>
      </c>
      <c r="B348" s="9" t="s">
        <v>248</v>
      </c>
      <c r="C348" s="32"/>
      <c r="D348" s="30" t="s">
        <v>229</v>
      </c>
      <c r="E348" s="42">
        <f>E349+E352</f>
        <v>529.8</v>
      </c>
      <c r="F348" s="42">
        <f>F349+F352</f>
        <v>526</v>
      </c>
    </row>
    <row r="349" spans="1:6" ht="49.5">
      <c r="A349" s="12" t="s">
        <v>76</v>
      </c>
      <c r="B349" s="12" t="s">
        <v>260</v>
      </c>
      <c r="C349" s="16"/>
      <c r="D349" s="10" t="s">
        <v>183</v>
      </c>
      <c r="E349" s="42">
        <f aca="true" t="shared" si="21" ref="E349:F350">E350</f>
        <v>376.5</v>
      </c>
      <c r="F349" s="42">
        <f t="shared" si="21"/>
        <v>376.5</v>
      </c>
    </row>
    <row r="350" spans="1:6" ht="33">
      <c r="A350" s="12" t="s">
        <v>76</v>
      </c>
      <c r="B350" s="12" t="s">
        <v>301</v>
      </c>
      <c r="C350" s="16"/>
      <c r="D350" s="10" t="s">
        <v>184</v>
      </c>
      <c r="E350" s="42">
        <f t="shared" si="21"/>
        <v>376.5</v>
      </c>
      <c r="F350" s="42">
        <f t="shared" si="21"/>
        <v>376.5</v>
      </c>
    </row>
    <row r="351" spans="1:6" ht="33">
      <c r="A351" s="12" t="s">
        <v>76</v>
      </c>
      <c r="B351" s="12" t="s">
        <v>301</v>
      </c>
      <c r="C351" s="16">
        <v>600</v>
      </c>
      <c r="D351" s="10" t="s">
        <v>131</v>
      </c>
      <c r="E351" s="42">
        <f>'№8 (ведомст.)'!F231</f>
        <v>376.5</v>
      </c>
      <c r="F351" s="42">
        <f>'№8 (ведомст.)'!G231</f>
        <v>376.5</v>
      </c>
    </row>
    <row r="352" spans="1:6" ht="22.5" customHeight="1">
      <c r="A352" s="12" t="s">
        <v>76</v>
      </c>
      <c r="B352" s="12" t="s">
        <v>299</v>
      </c>
      <c r="C352" s="16"/>
      <c r="D352" s="10" t="s">
        <v>181</v>
      </c>
      <c r="E352" s="42">
        <f>E356+E353</f>
        <v>153.3</v>
      </c>
      <c r="F352" s="42">
        <f>F356+F353</f>
        <v>149.5</v>
      </c>
    </row>
    <row r="353" spans="1:6" ht="33">
      <c r="A353" s="32" t="s">
        <v>76</v>
      </c>
      <c r="B353" s="32" t="s">
        <v>303</v>
      </c>
      <c r="C353" s="16"/>
      <c r="D353" s="10" t="s">
        <v>182</v>
      </c>
      <c r="E353" s="42">
        <f>E355+E354</f>
        <v>90.5</v>
      </c>
      <c r="F353" s="42">
        <f>F355+F354</f>
        <v>86.69999999999999</v>
      </c>
    </row>
    <row r="354" spans="1:6" ht="33">
      <c r="A354" s="32" t="s">
        <v>76</v>
      </c>
      <c r="B354" s="32" t="s">
        <v>303</v>
      </c>
      <c r="C354" s="9" t="s">
        <v>108</v>
      </c>
      <c r="D354" s="10" t="s">
        <v>454</v>
      </c>
      <c r="E354" s="42">
        <f>'№8 (ведомст.)'!F235</f>
        <v>3.5</v>
      </c>
      <c r="F354" s="42">
        <f>'№8 (ведомст.)'!G235</f>
        <v>0</v>
      </c>
    </row>
    <row r="355" spans="1:6" ht="22.5" customHeight="1">
      <c r="A355" s="32" t="s">
        <v>76</v>
      </c>
      <c r="B355" s="32" t="s">
        <v>303</v>
      </c>
      <c r="C355" s="16" t="s">
        <v>111</v>
      </c>
      <c r="D355" s="10" t="s">
        <v>112</v>
      </c>
      <c r="E355" s="42">
        <f>'№8 (ведомст.)'!F236</f>
        <v>87</v>
      </c>
      <c r="F355" s="42">
        <f>'№8 (ведомст.)'!G236</f>
        <v>86.69999999999999</v>
      </c>
    </row>
    <row r="356" spans="1:6" ht="33">
      <c r="A356" s="12" t="s">
        <v>76</v>
      </c>
      <c r="B356" s="12" t="s">
        <v>302</v>
      </c>
      <c r="C356" s="16"/>
      <c r="D356" s="10" t="s">
        <v>240</v>
      </c>
      <c r="E356" s="42">
        <f>E357</f>
        <v>62.80000000000001</v>
      </c>
      <c r="F356" s="42">
        <f>F357</f>
        <v>62.8</v>
      </c>
    </row>
    <row r="357" spans="1:6" ht="24.75" customHeight="1">
      <c r="A357" s="12" t="s">
        <v>76</v>
      </c>
      <c r="B357" s="12" t="s">
        <v>302</v>
      </c>
      <c r="C357" s="16" t="s">
        <v>111</v>
      </c>
      <c r="D357" s="10" t="s">
        <v>112</v>
      </c>
      <c r="E357" s="42">
        <f>'№8 (ведомст.)'!F239</f>
        <v>62.80000000000001</v>
      </c>
      <c r="F357" s="42">
        <f>'№8 (ведомст.)'!G239</f>
        <v>62.8</v>
      </c>
    </row>
    <row r="358" spans="1:6" ht="12.75">
      <c r="A358" s="32" t="s">
        <v>144</v>
      </c>
      <c r="B358" s="9"/>
      <c r="C358" s="44"/>
      <c r="D358" s="10" t="s">
        <v>145</v>
      </c>
      <c r="E358" s="42">
        <f>E359+E364</f>
        <v>14352.7</v>
      </c>
      <c r="F358" s="42">
        <f>F359+F364</f>
        <v>14258.6</v>
      </c>
    </row>
    <row r="359" spans="1:6" ht="52.15" customHeight="1">
      <c r="A359" s="16">
        <v>1004</v>
      </c>
      <c r="B359" s="12" t="s">
        <v>330</v>
      </c>
      <c r="C359" s="16"/>
      <c r="D359" s="10" t="s">
        <v>127</v>
      </c>
      <c r="E359" s="42">
        <f aca="true" t="shared" si="22" ref="E359:F360">E360</f>
        <v>7487.8</v>
      </c>
      <c r="F359" s="42">
        <f t="shared" si="22"/>
        <v>7487.8</v>
      </c>
    </row>
    <row r="360" spans="1:6" ht="33">
      <c r="A360" s="16">
        <v>1004</v>
      </c>
      <c r="B360" s="12" t="s">
        <v>331</v>
      </c>
      <c r="C360" s="16"/>
      <c r="D360" s="10" t="s">
        <v>128</v>
      </c>
      <c r="E360" s="42">
        <f t="shared" si="22"/>
        <v>7487.8</v>
      </c>
      <c r="F360" s="42">
        <f t="shared" si="22"/>
        <v>7487.8</v>
      </c>
    </row>
    <row r="361" spans="1:6" ht="60" customHeight="1">
      <c r="A361" s="16">
        <v>1004</v>
      </c>
      <c r="B361" s="9" t="s">
        <v>360</v>
      </c>
      <c r="C361" s="9"/>
      <c r="D361" s="41" t="s">
        <v>146</v>
      </c>
      <c r="E361" s="42">
        <f>E363+E362</f>
        <v>7487.8</v>
      </c>
      <c r="F361" s="42">
        <f>F363+F362</f>
        <v>7487.8</v>
      </c>
    </row>
    <row r="362" spans="1:6" ht="33">
      <c r="A362" s="16">
        <v>1004</v>
      </c>
      <c r="B362" s="9" t="s">
        <v>360</v>
      </c>
      <c r="C362" s="44" t="s">
        <v>108</v>
      </c>
      <c r="D362" s="10" t="s">
        <v>454</v>
      </c>
      <c r="E362" s="42">
        <f>'№8 (ведомст.)'!F500</f>
        <v>211.5</v>
      </c>
      <c r="F362" s="42">
        <f>'№8 (ведомст.)'!G500</f>
        <v>211.5</v>
      </c>
    </row>
    <row r="363" spans="1:6" ht="12.75">
      <c r="A363" s="12" t="s">
        <v>144</v>
      </c>
      <c r="B363" s="9" t="s">
        <v>360</v>
      </c>
      <c r="C363" s="16" t="s">
        <v>111</v>
      </c>
      <c r="D363" s="10" t="s">
        <v>112</v>
      </c>
      <c r="E363" s="42">
        <f>'№8 (ведомст.)'!F501</f>
        <v>7276.3</v>
      </c>
      <c r="F363" s="42">
        <f>'№8 (ведомст.)'!G501</f>
        <v>7276.3</v>
      </c>
    </row>
    <row r="364" spans="1:6" ht="58.15" customHeight="1">
      <c r="A364" s="32" t="s">
        <v>144</v>
      </c>
      <c r="B364" s="9" t="s">
        <v>284</v>
      </c>
      <c r="C364" s="44"/>
      <c r="D364" s="10" t="s">
        <v>173</v>
      </c>
      <c r="E364" s="42">
        <f aca="true" t="shared" si="23" ref="E364:F366">E365</f>
        <v>6864.9</v>
      </c>
      <c r="F364" s="42">
        <f t="shared" si="23"/>
        <v>6770.8</v>
      </c>
    </row>
    <row r="365" spans="1:6" ht="49.5">
      <c r="A365" s="32" t="s">
        <v>144</v>
      </c>
      <c r="B365" s="9" t="s">
        <v>323</v>
      </c>
      <c r="C365" s="9"/>
      <c r="D365" s="41" t="s">
        <v>239</v>
      </c>
      <c r="E365" s="42">
        <f t="shared" si="23"/>
        <v>6864.9</v>
      </c>
      <c r="F365" s="42">
        <f t="shared" si="23"/>
        <v>6770.8</v>
      </c>
    </row>
    <row r="366" spans="1:6" ht="82.5">
      <c r="A366" s="32" t="s">
        <v>144</v>
      </c>
      <c r="B366" s="9" t="s">
        <v>452</v>
      </c>
      <c r="C366" s="16"/>
      <c r="D366" s="41" t="s">
        <v>372</v>
      </c>
      <c r="E366" s="42">
        <f t="shared" si="23"/>
        <v>6864.9</v>
      </c>
      <c r="F366" s="42">
        <f t="shared" si="23"/>
        <v>6770.8</v>
      </c>
    </row>
    <row r="367" spans="1:6" ht="33">
      <c r="A367" s="32" t="s">
        <v>144</v>
      </c>
      <c r="B367" s="9" t="s">
        <v>452</v>
      </c>
      <c r="C367" s="44">
        <v>400</v>
      </c>
      <c r="D367" s="10" t="s">
        <v>180</v>
      </c>
      <c r="E367" s="42">
        <f>'№8 (ведомст.)'!F329</f>
        <v>6864.9</v>
      </c>
      <c r="F367" s="42">
        <f>'№8 (ведомст.)'!G329</f>
        <v>6770.8</v>
      </c>
    </row>
    <row r="368" spans="1:6" s="56" customFormat="1" ht="12.75">
      <c r="A368" s="33" t="s">
        <v>99</v>
      </c>
      <c r="B368" s="33"/>
      <c r="C368" s="33"/>
      <c r="D368" s="34" t="s">
        <v>66</v>
      </c>
      <c r="E368" s="52">
        <f>E369+E380</f>
        <v>13234.8</v>
      </c>
      <c r="F368" s="52">
        <f>F369+F380</f>
        <v>13232.8</v>
      </c>
    </row>
    <row r="369" spans="1:6" ht="12.75">
      <c r="A369" s="12" t="s">
        <v>162</v>
      </c>
      <c r="B369" s="12"/>
      <c r="C369" s="16"/>
      <c r="D369" s="66" t="s">
        <v>100</v>
      </c>
      <c r="E369" s="42">
        <f aca="true" t="shared" si="24" ref="E369:F370">E370</f>
        <v>10915.1</v>
      </c>
      <c r="F369" s="42">
        <f t="shared" si="24"/>
        <v>10915.1</v>
      </c>
    </row>
    <row r="370" spans="1:6" ht="49.5">
      <c r="A370" s="12" t="s">
        <v>162</v>
      </c>
      <c r="B370" s="12" t="s">
        <v>326</v>
      </c>
      <c r="C370" s="16"/>
      <c r="D370" s="10" t="s">
        <v>159</v>
      </c>
      <c r="E370" s="42">
        <f t="shared" si="24"/>
        <v>10915.1</v>
      </c>
      <c r="F370" s="42">
        <f t="shared" si="24"/>
        <v>10915.1</v>
      </c>
    </row>
    <row r="371" spans="1:6" ht="33">
      <c r="A371" s="12" t="s">
        <v>162</v>
      </c>
      <c r="B371" s="12" t="s">
        <v>327</v>
      </c>
      <c r="C371" s="16"/>
      <c r="D371" s="10" t="s">
        <v>160</v>
      </c>
      <c r="E371" s="42">
        <f>E372+E376+E378</f>
        <v>10915.1</v>
      </c>
      <c r="F371" s="42">
        <f>F372+F376+F378</f>
        <v>10915.1</v>
      </c>
    </row>
    <row r="372" spans="1:6" ht="33">
      <c r="A372" s="12" t="s">
        <v>162</v>
      </c>
      <c r="B372" s="12" t="s">
        <v>339</v>
      </c>
      <c r="C372" s="16"/>
      <c r="D372" s="10" t="s">
        <v>163</v>
      </c>
      <c r="E372" s="42">
        <f>E374+E373+E375</f>
        <v>1185.5</v>
      </c>
      <c r="F372" s="42">
        <f>F374+F373+F375</f>
        <v>1185.5</v>
      </c>
    </row>
    <row r="373" spans="1:6" ht="66">
      <c r="A373" s="12" t="s">
        <v>162</v>
      </c>
      <c r="B373" s="12" t="s">
        <v>339</v>
      </c>
      <c r="C373" s="44" t="s">
        <v>107</v>
      </c>
      <c r="D373" s="10" t="s">
        <v>6</v>
      </c>
      <c r="E373" s="42">
        <f>'№8 (ведомст.)'!F399</f>
        <v>397.2</v>
      </c>
      <c r="F373" s="42">
        <f>'№8 (ведомст.)'!G399</f>
        <v>397.2</v>
      </c>
    </row>
    <row r="374" spans="1:6" ht="33">
      <c r="A374" s="12" t="s">
        <v>162</v>
      </c>
      <c r="B374" s="12" t="s">
        <v>339</v>
      </c>
      <c r="C374" s="44" t="s">
        <v>108</v>
      </c>
      <c r="D374" s="10" t="s">
        <v>454</v>
      </c>
      <c r="E374" s="42">
        <f>'№8 (ведомст.)'!F400</f>
        <v>674.2</v>
      </c>
      <c r="F374" s="42">
        <f>'№8 (ведомст.)'!G400</f>
        <v>674.2</v>
      </c>
    </row>
    <row r="375" spans="1:6" ht="18" customHeight="1">
      <c r="A375" s="12" t="s">
        <v>162</v>
      </c>
      <c r="B375" s="12" t="s">
        <v>339</v>
      </c>
      <c r="C375" s="44" t="s">
        <v>109</v>
      </c>
      <c r="D375" s="10" t="s">
        <v>110</v>
      </c>
      <c r="E375" s="42">
        <f>'№8 (ведомст.)'!F401</f>
        <v>114.1</v>
      </c>
      <c r="F375" s="42">
        <f>'№8 (ведомст.)'!G401</f>
        <v>114.1</v>
      </c>
    </row>
    <row r="376" spans="1:6" ht="45" customHeight="1">
      <c r="A376" s="12" t="s">
        <v>162</v>
      </c>
      <c r="B376" s="12" t="s">
        <v>340</v>
      </c>
      <c r="C376" s="16"/>
      <c r="D376" s="10" t="s">
        <v>164</v>
      </c>
      <c r="E376" s="42">
        <f>E377</f>
        <v>9477.7</v>
      </c>
      <c r="F376" s="42">
        <f>F377</f>
        <v>9477.7</v>
      </c>
    </row>
    <row r="377" spans="1:6" ht="33">
      <c r="A377" s="12" t="s">
        <v>162</v>
      </c>
      <c r="B377" s="12" t="s">
        <v>340</v>
      </c>
      <c r="C377" s="16">
        <v>600</v>
      </c>
      <c r="D377" s="10" t="s">
        <v>131</v>
      </c>
      <c r="E377" s="42">
        <f>'№8 (ведомст.)'!F403</f>
        <v>9477.7</v>
      </c>
      <c r="F377" s="42">
        <f>'№8 (ведомст.)'!G403</f>
        <v>9477.7</v>
      </c>
    </row>
    <row r="378" spans="1:6" ht="49.5">
      <c r="A378" s="12" t="s">
        <v>162</v>
      </c>
      <c r="B378" s="12" t="s">
        <v>341</v>
      </c>
      <c r="C378" s="16"/>
      <c r="D378" s="10" t="s">
        <v>165</v>
      </c>
      <c r="E378" s="42">
        <f>E379</f>
        <v>251.9</v>
      </c>
      <c r="F378" s="42">
        <f>F379</f>
        <v>251.9</v>
      </c>
    </row>
    <row r="379" spans="1:6" ht="33">
      <c r="A379" s="12" t="s">
        <v>162</v>
      </c>
      <c r="B379" s="12" t="s">
        <v>341</v>
      </c>
      <c r="C379" s="16">
        <v>600</v>
      </c>
      <c r="D379" s="10" t="s">
        <v>131</v>
      </c>
      <c r="E379" s="42">
        <f>'№8 (ведомст.)'!F405</f>
        <v>251.9</v>
      </c>
      <c r="F379" s="42">
        <f>'№8 (ведомст.)'!G405</f>
        <v>251.9</v>
      </c>
    </row>
    <row r="380" spans="1:6" ht="22.9" customHeight="1">
      <c r="A380" s="12" t="s">
        <v>166</v>
      </c>
      <c r="B380" s="12"/>
      <c r="C380" s="16"/>
      <c r="D380" s="41" t="s">
        <v>3</v>
      </c>
      <c r="E380" s="42">
        <f aca="true" t="shared" si="25" ref="E380:F382">E381</f>
        <v>2319.7</v>
      </c>
      <c r="F380" s="42">
        <f t="shared" si="25"/>
        <v>2317.7</v>
      </c>
    </row>
    <row r="381" spans="1:6" ht="49.5">
      <c r="A381" s="12" t="s">
        <v>166</v>
      </c>
      <c r="B381" s="12" t="s">
        <v>326</v>
      </c>
      <c r="C381" s="16"/>
      <c r="D381" s="10" t="s">
        <v>159</v>
      </c>
      <c r="E381" s="42">
        <f t="shared" si="25"/>
        <v>2319.7</v>
      </c>
      <c r="F381" s="42">
        <f t="shared" si="25"/>
        <v>2317.7</v>
      </c>
    </row>
    <row r="382" spans="1:6" ht="12.75">
      <c r="A382" s="12" t="s">
        <v>166</v>
      </c>
      <c r="B382" s="9" t="s">
        <v>342</v>
      </c>
      <c r="C382" s="9"/>
      <c r="D382" s="41" t="s">
        <v>5</v>
      </c>
      <c r="E382" s="42">
        <f t="shared" si="25"/>
        <v>2319.7</v>
      </c>
      <c r="F382" s="42">
        <f t="shared" si="25"/>
        <v>2317.7</v>
      </c>
    </row>
    <row r="383" spans="1:6" ht="66">
      <c r="A383" s="12" t="s">
        <v>166</v>
      </c>
      <c r="B383" s="12" t="s">
        <v>343</v>
      </c>
      <c r="C383" s="16"/>
      <c r="D383" s="10" t="s">
        <v>113</v>
      </c>
      <c r="E383" s="42">
        <f>E384+E385+E386</f>
        <v>2319.7</v>
      </c>
      <c r="F383" s="42">
        <f>F384+F385+F386</f>
        <v>2317.7</v>
      </c>
    </row>
    <row r="384" spans="1:6" ht="66">
      <c r="A384" s="12" t="s">
        <v>166</v>
      </c>
      <c r="B384" s="12" t="s">
        <v>343</v>
      </c>
      <c r="C384" s="44" t="s">
        <v>107</v>
      </c>
      <c r="D384" s="10" t="s">
        <v>6</v>
      </c>
      <c r="E384" s="42">
        <f>'№8 (ведомст.)'!F411</f>
        <v>2057</v>
      </c>
      <c r="F384" s="42">
        <f>'№8 (ведомст.)'!G411</f>
        <v>2056.1</v>
      </c>
    </row>
    <row r="385" spans="1:6" ht="33">
      <c r="A385" s="32" t="s">
        <v>166</v>
      </c>
      <c r="B385" s="12" t="s">
        <v>343</v>
      </c>
      <c r="C385" s="44" t="s">
        <v>108</v>
      </c>
      <c r="D385" s="10" t="s">
        <v>454</v>
      </c>
      <c r="E385" s="42">
        <f>'№8 (ведомст.)'!F412</f>
        <v>230.5</v>
      </c>
      <c r="F385" s="42">
        <f>'№8 (ведомст.)'!G412</f>
        <v>229.5</v>
      </c>
    </row>
    <row r="386" spans="1:6" ht="21.75" customHeight="1">
      <c r="A386" s="32" t="s">
        <v>166</v>
      </c>
      <c r="B386" s="12" t="s">
        <v>343</v>
      </c>
      <c r="C386" s="44" t="s">
        <v>109</v>
      </c>
      <c r="D386" s="10" t="s">
        <v>110</v>
      </c>
      <c r="E386" s="42">
        <f>'№8 (ведомст.)'!F413</f>
        <v>32.199999999999996</v>
      </c>
      <c r="F386" s="42">
        <f>'№8 (ведомст.)'!G413</f>
        <v>32.1</v>
      </c>
    </row>
    <row r="387" spans="1:6" s="56" customFormat="1" ht="12.75">
      <c r="A387" s="33">
        <v>1200</v>
      </c>
      <c r="B387" s="33"/>
      <c r="C387" s="33"/>
      <c r="D387" s="34" t="s">
        <v>101</v>
      </c>
      <c r="E387" s="52">
        <f>E388</f>
        <v>2505.6</v>
      </c>
      <c r="F387" s="52">
        <f>F388</f>
        <v>2505.6</v>
      </c>
    </row>
    <row r="388" spans="1:6" ht="12.75">
      <c r="A388" s="32" t="s">
        <v>103</v>
      </c>
      <c r="B388" s="9"/>
      <c r="C388" s="32"/>
      <c r="D388" s="10" t="s">
        <v>104</v>
      </c>
      <c r="E388" s="42">
        <f aca="true" t="shared" si="26" ref="E388:F389">E389</f>
        <v>2505.6</v>
      </c>
      <c r="F388" s="42">
        <f t="shared" si="26"/>
        <v>2505.6</v>
      </c>
    </row>
    <row r="389" spans="1:6" ht="49.5">
      <c r="A389" s="32" t="s">
        <v>103</v>
      </c>
      <c r="B389" s="12" t="s">
        <v>248</v>
      </c>
      <c r="C389" s="16"/>
      <c r="D389" s="30" t="s">
        <v>229</v>
      </c>
      <c r="E389" s="42">
        <f t="shared" si="26"/>
        <v>2505.6</v>
      </c>
      <c r="F389" s="42">
        <f t="shared" si="26"/>
        <v>2505.6</v>
      </c>
    </row>
    <row r="390" spans="1:6" ht="49.5">
      <c r="A390" s="32" t="s">
        <v>103</v>
      </c>
      <c r="B390" s="12" t="s">
        <v>260</v>
      </c>
      <c r="C390" s="16"/>
      <c r="D390" s="10" t="s">
        <v>183</v>
      </c>
      <c r="E390" s="42">
        <f>E393+E395+E391+E397</f>
        <v>2505.6</v>
      </c>
      <c r="F390" s="42">
        <f>F393+F395+F391+F397</f>
        <v>2505.6</v>
      </c>
    </row>
    <row r="391" spans="1:6" ht="82.5">
      <c r="A391" s="32" t="s">
        <v>103</v>
      </c>
      <c r="B391" s="12" t="s">
        <v>304</v>
      </c>
      <c r="C391" s="16"/>
      <c r="D391" s="10" t="s">
        <v>230</v>
      </c>
      <c r="E391" s="42">
        <f>E392</f>
        <v>924</v>
      </c>
      <c r="F391" s="42">
        <f>F392</f>
        <v>924</v>
      </c>
    </row>
    <row r="392" spans="1:6" ht="12.75">
      <c r="A392" s="32" t="s">
        <v>103</v>
      </c>
      <c r="B392" s="12" t="s">
        <v>304</v>
      </c>
      <c r="C392" s="16" t="s">
        <v>109</v>
      </c>
      <c r="D392" s="10" t="s">
        <v>110</v>
      </c>
      <c r="E392" s="42">
        <f>'№8 (ведомст.)'!F246</f>
        <v>924</v>
      </c>
      <c r="F392" s="42">
        <f>'№8 (ведомст.)'!G246</f>
        <v>924</v>
      </c>
    </row>
    <row r="393" spans="1:6" ht="79.9" customHeight="1">
      <c r="A393" s="32" t="s">
        <v>103</v>
      </c>
      <c r="B393" s="12" t="s">
        <v>305</v>
      </c>
      <c r="C393" s="16"/>
      <c r="D393" s="10" t="s">
        <v>231</v>
      </c>
      <c r="E393" s="42">
        <f>E394</f>
        <v>480</v>
      </c>
      <c r="F393" s="42">
        <f>F394</f>
        <v>480</v>
      </c>
    </row>
    <row r="394" spans="1:6" ht="21" customHeight="1">
      <c r="A394" s="32" t="s">
        <v>103</v>
      </c>
      <c r="B394" s="12" t="s">
        <v>305</v>
      </c>
      <c r="C394" s="16" t="s">
        <v>109</v>
      </c>
      <c r="D394" s="10" t="s">
        <v>110</v>
      </c>
      <c r="E394" s="42">
        <f>'№8 (ведомст.)'!F248</f>
        <v>480</v>
      </c>
      <c r="F394" s="42">
        <f>'№8 (ведомст.)'!G248</f>
        <v>480</v>
      </c>
    </row>
    <row r="395" spans="1:6" ht="74.45" customHeight="1">
      <c r="A395" s="32" t="s">
        <v>103</v>
      </c>
      <c r="B395" s="12" t="s">
        <v>316</v>
      </c>
      <c r="C395" s="16"/>
      <c r="D395" s="10" t="s">
        <v>232</v>
      </c>
      <c r="E395" s="42">
        <f>E396</f>
        <v>624</v>
      </c>
      <c r="F395" s="42">
        <f>F396</f>
        <v>624</v>
      </c>
    </row>
    <row r="396" spans="1:6" ht="19.15" customHeight="1">
      <c r="A396" s="32" t="s">
        <v>103</v>
      </c>
      <c r="B396" s="12" t="s">
        <v>316</v>
      </c>
      <c r="C396" s="16" t="s">
        <v>109</v>
      </c>
      <c r="D396" s="10" t="s">
        <v>110</v>
      </c>
      <c r="E396" s="42">
        <f>'№8 (ведомст.)'!F250</f>
        <v>624</v>
      </c>
      <c r="F396" s="42">
        <f>'№8 (ведомст.)'!G250</f>
        <v>624</v>
      </c>
    </row>
    <row r="397" spans="1:6" ht="82.5">
      <c r="A397" s="32" t="s">
        <v>103</v>
      </c>
      <c r="B397" s="12" t="s">
        <v>492</v>
      </c>
      <c r="C397" s="16"/>
      <c r="D397" s="10" t="s">
        <v>494</v>
      </c>
      <c r="E397" s="42">
        <f>E398</f>
        <v>477.6</v>
      </c>
      <c r="F397" s="42">
        <f>F398</f>
        <v>477.6</v>
      </c>
    </row>
    <row r="398" spans="1:6" ht="12.75">
      <c r="A398" s="32" t="s">
        <v>103</v>
      </c>
      <c r="B398" s="12" t="s">
        <v>492</v>
      </c>
      <c r="C398" s="16" t="s">
        <v>109</v>
      </c>
      <c r="D398" s="10" t="s">
        <v>110</v>
      </c>
      <c r="E398" s="42">
        <f>'№8 (ведомст.)'!F251</f>
        <v>477.6</v>
      </c>
      <c r="F398" s="42">
        <f>'№8 (ведомст.)'!G251</f>
        <v>477.6</v>
      </c>
    </row>
    <row r="399" spans="1:6" ht="12.75">
      <c r="A399" s="33" t="s">
        <v>512</v>
      </c>
      <c r="B399" s="33"/>
      <c r="C399" s="33"/>
      <c r="D399" s="34" t="s">
        <v>513</v>
      </c>
      <c r="E399" s="52">
        <f aca="true" t="shared" si="27" ref="E399:F404">E400</f>
        <v>238.40000000000003</v>
      </c>
      <c r="F399" s="52">
        <f t="shared" si="27"/>
        <v>237.2</v>
      </c>
    </row>
    <row r="400" spans="1:6" ht="12.75">
      <c r="A400" s="32" t="s">
        <v>512</v>
      </c>
      <c r="B400" s="9"/>
      <c r="C400" s="44"/>
      <c r="D400" s="10" t="s">
        <v>513</v>
      </c>
      <c r="E400" s="42">
        <f t="shared" si="27"/>
        <v>238.40000000000003</v>
      </c>
      <c r="F400" s="42">
        <f t="shared" si="27"/>
        <v>237.2</v>
      </c>
    </row>
    <row r="401" spans="1:6" ht="12.75">
      <c r="A401" s="32" t="s">
        <v>514</v>
      </c>
      <c r="B401" s="9"/>
      <c r="C401" s="44"/>
      <c r="D401" s="10" t="s">
        <v>515</v>
      </c>
      <c r="E401" s="42">
        <f t="shared" si="27"/>
        <v>238.40000000000003</v>
      </c>
      <c r="F401" s="42">
        <f t="shared" si="27"/>
        <v>237.2</v>
      </c>
    </row>
    <row r="402" spans="1:6" ht="33">
      <c r="A402" s="32" t="s">
        <v>514</v>
      </c>
      <c r="B402" s="9" t="s">
        <v>306</v>
      </c>
      <c r="C402" s="44"/>
      <c r="D402" s="10" t="s">
        <v>14</v>
      </c>
      <c r="E402" s="42">
        <f t="shared" si="27"/>
        <v>238.40000000000003</v>
      </c>
      <c r="F402" s="42">
        <f t="shared" si="27"/>
        <v>237.2</v>
      </c>
    </row>
    <row r="403" spans="1:6" ht="33">
      <c r="A403" s="32" t="s">
        <v>514</v>
      </c>
      <c r="B403" s="9" t="s">
        <v>519</v>
      </c>
      <c r="C403" s="44"/>
      <c r="D403" s="10" t="s">
        <v>516</v>
      </c>
      <c r="E403" s="42">
        <f t="shared" si="27"/>
        <v>238.40000000000003</v>
      </c>
      <c r="F403" s="42">
        <f t="shared" si="27"/>
        <v>237.2</v>
      </c>
    </row>
    <row r="404" spans="1:6" ht="12.75">
      <c r="A404" s="32" t="s">
        <v>514</v>
      </c>
      <c r="B404" s="9" t="s">
        <v>520</v>
      </c>
      <c r="C404" s="44"/>
      <c r="D404" s="10" t="s">
        <v>517</v>
      </c>
      <c r="E404" s="42">
        <f t="shared" si="27"/>
        <v>238.40000000000003</v>
      </c>
      <c r="F404" s="42">
        <f t="shared" si="27"/>
        <v>237.2</v>
      </c>
    </row>
    <row r="405" spans="1:6" ht="12.75">
      <c r="A405" s="32" t="s">
        <v>514</v>
      </c>
      <c r="B405" s="9" t="s">
        <v>520</v>
      </c>
      <c r="C405" s="44">
        <v>700</v>
      </c>
      <c r="D405" s="10" t="s">
        <v>518</v>
      </c>
      <c r="E405" s="42">
        <f>'№8 (ведомст.)'!F284</f>
        <v>238.40000000000003</v>
      </c>
      <c r="F405" s="42">
        <f>'№8 (ведомст.)'!G284</f>
        <v>237.2</v>
      </c>
    </row>
  </sheetData>
  <mergeCells count="4">
    <mergeCell ref="D1:F1"/>
    <mergeCell ref="A2:F2"/>
    <mergeCell ref="A3:F3"/>
    <mergeCell ref="A5:F5"/>
  </mergeCells>
  <printOptions/>
  <pageMargins left="0.5905511811023623" right="0.1968503937007874" top="0" bottom="0" header="0.5118110236220472" footer="0.5118110236220472"/>
  <pageSetup fitToHeight="0"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ОФ и ЭА Администрация города Торжка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Маслобойщикова</dc:creator>
  <cp:keywords/>
  <dc:description/>
  <cp:lastModifiedBy>Vershinskaya</cp:lastModifiedBy>
  <cp:lastPrinted>2017-06-16T06:40:20Z</cp:lastPrinted>
  <dcterms:created xsi:type="dcterms:W3CDTF">2007-11-30T05:39:28Z</dcterms:created>
  <dcterms:modified xsi:type="dcterms:W3CDTF">2017-06-16T06:40:40Z</dcterms:modified>
  <cp:category/>
  <cp:version/>
  <cp:contentType/>
  <cp:contentStatus/>
</cp:coreProperties>
</file>