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ЭтаКнига" defaultThemeVersion="124226"/>
  <bookViews>
    <workbookView xWindow="90" yWindow="0" windowWidth="15480" windowHeight="9660" firstSheet="1" activeTab="6"/>
  </bookViews>
  <sheets>
    <sheet name="№1" sheetId="42" r:id="rId1"/>
    <sheet name="№2" sheetId="156" r:id="rId2"/>
    <sheet name="№3" sheetId="160" r:id="rId3"/>
    <sheet name="№4" sheetId="161" r:id="rId4"/>
    <sheet name="№5" sheetId="143" r:id="rId5"/>
    <sheet name="№6" sheetId="144" r:id="rId6"/>
    <sheet name="№ 7" sheetId="145" r:id="rId7"/>
    <sheet name="№8" sheetId="146" r:id="rId8"/>
    <sheet name="№9" sheetId="147" r:id="rId9"/>
    <sheet name="№10" sheetId="151" r:id="rId10"/>
    <sheet name="№11" sheetId="153" r:id="rId11"/>
    <sheet name="№12" sheetId="154" r:id="rId12"/>
    <sheet name="№13" sheetId="163" r:id="rId13"/>
    <sheet name="№14" sheetId="162" r:id="rId14"/>
  </sheets>
  <definedNames>
    <definedName name="_xlnm.Print_Area" localSheetId="11">'№12'!$A$1:$L$21</definedName>
    <definedName name="_xlnm.Print_Area" localSheetId="5">'№6'!$A$1:$G$568</definedName>
    <definedName name="_xlnm.Print_Titles" localSheetId="2">'№3'!$6:$7</definedName>
  </definedNames>
  <calcPr calcId="124519"/>
</workbook>
</file>

<file path=xl/sharedStrings.xml><?xml version="1.0" encoding="utf-8"?>
<sst xmlns="http://schemas.openxmlformats.org/spreadsheetml/2006/main" count="6807" uniqueCount="1157">
  <si>
    <t>Другие вопросы в области физической культуры и спорта</t>
  </si>
  <si>
    <t>Всего:</t>
  </si>
  <si>
    <t>Обеспечивающая подпрограмма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</si>
  <si>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</si>
  <si>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Торжокская городская Дума</t>
  </si>
  <si>
    <t>Расходы на обеспечение деятельности и иные расходы представительного органа муниципального образования город Торжок</t>
  </si>
  <si>
    <t>1</t>
  </si>
  <si>
    <t>008</t>
  </si>
  <si>
    <t>0501</t>
  </si>
  <si>
    <t>Жилищное хозяйство</t>
  </si>
  <si>
    <t>0409</t>
  </si>
  <si>
    <t>Комитет по физкультуре, спорту и молодежной политике администрации муниципального образования город Торжок</t>
  </si>
  <si>
    <t>Обеспечение деятельности финансовых, налоговых и таможенных органов и органов финансового (финансово-бюджетного) надзора</t>
  </si>
  <si>
    <t>Резервные фонды</t>
  </si>
  <si>
    <t>011</t>
  </si>
  <si>
    <t>Дошкольное образование</t>
  </si>
  <si>
    <t>Общее образование</t>
  </si>
  <si>
    <t>Другие вопросы в области образования</t>
  </si>
  <si>
    <t>Культура</t>
  </si>
  <si>
    <t>006</t>
  </si>
  <si>
    <t>Защита населения и территории от  чрезвычайных ситуаций природного и техногенного характера, гражданская оборона</t>
  </si>
  <si>
    <t>ППП</t>
  </si>
  <si>
    <t>КЦСР</t>
  </si>
  <si>
    <t>КВР</t>
  </si>
  <si>
    <t>Наименование</t>
  </si>
  <si>
    <t>001</t>
  </si>
  <si>
    <t>Общегосударственные вопросы</t>
  </si>
  <si>
    <t>Приложение  1</t>
  </si>
  <si>
    <t>Источники  финансирования  дефицита  бюджета</t>
  </si>
  <si>
    <t>000 01 05 00 00 00 0000 000</t>
  </si>
  <si>
    <t>000 01 05 00 00 00 0000 500</t>
  </si>
  <si>
    <t>Увеличение остатков средств бюджетов</t>
  </si>
  <si>
    <t>000 01 05 02 00 00 0000 500</t>
  </si>
  <si>
    <t>Увеличение прочих остатков  средств  бюджетов</t>
  </si>
  <si>
    <t>000 01 05 02 01 04 0000 510</t>
  </si>
  <si>
    <t>Увеличение прочих остатков  денежных средств  бюджетов городских округов</t>
  </si>
  <si>
    <t>000 01 05 00 00 00 0000 600</t>
  </si>
  <si>
    <t>Уменьшение остатков средств бюджетов</t>
  </si>
  <si>
    <t>000 01 05 02 00 00 0000 600</t>
  </si>
  <si>
    <t>Уменьшение прочих остатков  средств  бюджетов</t>
  </si>
  <si>
    <t>000 01 05 02 01 04 0000 610</t>
  </si>
  <si>
    <t>Уменьшение прочих остатков  денежных средств  бюджетов городских округов</t>
  </si>
  <si>
    <t>Итого источники финансирования дефицита бюджета</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</si>
  <si>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</si>
  <si>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</si>
  <si>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</si>
  <si>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</si>
  <si>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безопасность и правоохранительная деятельность</t>
  </si>
  <si>
    <t>Национальная экономика</t>
  </si>
  <si>
    <t>Другие вопросы в области национальной экономики</t>
  </si>
  <si>
    <t>Жилищно-коммунальное хозяйство</t>
  </si>
  <si>
    <t>Коммунальное хозяйство</t>
  </si>
  <si>
    <t>Благоустройство</t>
  </si>
  <si>
    <t>Образование</t>
  </si>
  <si>
    <t>Молодежная политика и оздоровление детей</t>
  </si>
  <si>
    <t>Физическая культура и спорт</t>
  </si>
  <si>
    <t>Социальная политика</t>
  </si>
  <si>
    <t>Пенсионное обеспечение</t>
  </si>
  <si>
    <t>005</t>
  </si>
  <si>
    <t>Социальное обеспечение населения</t>
  </si>
  <si>
    <t>002</t>
  </si>
  <si>
    <t>РП</t>
  </si>
  <si>
    <t>0700</t>
  </si>
  <si>
    <t>0707</t>
  </si>
  <si>
    <t>1000</t>
  </si>
  <si>
    <t>1003</t>
  </si>
  <si>
    <t>0800</t>
  </si>
  <si>
    <t>0801</t>
  </si>
  <si>
    <t>0102</t>
  </si>
  <si>
    <t>0103</t>
  </si>
  <si>
    <t>0104</t>
  </si>
  <si>
    <t>0106</t>
  </si>
  <si>
    <t>0111</t>
  </si>
  <si>
    <t>0309</t>
  </si>
  <si>
    <t>0412</t>
  </si>
  <si>
    <t>0502</t>
  </si>
  <si>
    <t>0503</t>
  </si>
  <si>
    <t>0701</t>
  </si>
  <si>
    <t>0702</t>
  </si>
  <si>
    <t>0709</t>
  </si>
  <si>
    <t>1001</t>
  </si>
  <si>
    <t>0100</t>
  </si>
  <si>
    <t>0300</t>
  </si>
  <si>
    <t>0400</t>
  </si>
  <si>
    <t>0500</t>
  </si>
  <si>
    <t>ВСЕГО</t>
  </si>
  <si>
    <t>Функционирование высшего должностного лица субъекта Российской Федерации и муниципального образования</t>
  </si>
  <si>
    <t>0113</t>
  </si>
  <si>
    <t>1100</t>
  </si>
  <si>
    <t>Массовый спорт</t>
  </si>
  <si>
    <t>Средства массовой информации</t>
  </si>
  <si>
    <t>1204</t>
  </si>
  <si>
    <t>Другие вопросы в области средств массовой информации</t>
  </si>
  <si>
    <t/>
  </si>
  <si>
    <t>Пенсии за выслугу лет к трудовой пенсии по старости (инвалидности) лицам, замещавшим должности муниципальной службы муниципального образования город Торжок</t>
  </si>
  <si>
    <t>100</t>
  </si>
  <si>
    <t>200</t>
  </si>
  <si>
    <t>800</t>
  </si>
  <si>
    <t>Иные бюджетные ассигнования</t>
  </si>
  <si>
    <t>400</t>
  </si>
  <si>
    <t>300</t>
  </si>
  <si>
    <t>Социальное обеспечение и иные выплаты населению</t>
  </si>
  <si>
    <t>0304</t>
  </si>
  <si>
    <t>Органы юстиции</t>
  </si>
  <si>
    <t>2</t>
  </si>
  <si>
    <t>3</t>
  </si>
  <si>
    <t>4</t>
  </si>
  <si>
    <t>5</t>
  </si>
  <si>
    <t>6</t>
  </si>
  <si>
    <t>9</t>
  </si>
  <si>
    <t>10</t>
  </si>
  <si>
    <t xml:space="preserve">Культура,  кинематография </t>
  </si>
  <si>
    <t>администрация муниципального образования город Торжок</t>
  </si>
  <si>
    <t>Изменение остатков средств на счетах  по учету средств бюджета</t>
  </si>
  <si>
    <t>Подпрограмма "Модернизация дошкольного и общего образования, как института социального развития"</t>
  </si>
  <si>
    <t>Предоставление общедоступного и бесплатного  дошкольного образования  в муниципальных бюджетных дошкольных  образовательных учреждениях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</si>
  <si>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</si>
  <si>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Предоставление субсидий бюджетным, автономным учреждениям и иным некоммерческим организациям</t>
  </si>
  <si>
    <t>Предоставление общедоступного и бесплатного  начального общего, основного общего, среднего (полного) общего образования   в муниципальных бюджетных общеобразовательных учреждениях</t>
  </si>
  <si>
    <t>Предоставление дополнительного образования   детям в муниципальных бюджетных образовательных учреждениях</t>
  </si>
  <si>
    <t>Предоставление дополнительного образования  спортивной направленности  детям в муниципальных бюджетных образовательных учреждениях</t>
  </si>
  <si>
    <t>Обеспечение комплексной безопасности зданий и помещений муниципальных бюджетных дошкольных образовательных учреждений</t>
  </si>
  <si>
    <t>Организация обеспечения учащихся начальных классов муниципальных общеобразовательных учреждений города Торжка горячим питанием</t>
  </si>
  <si>
    <t>Расходы на финансовое обеспечение деятельности отделов Управление образования администрации города Торжка Тверской области</t>
  </si>
  <si>
    <t>Расходы на финансовое обеспечение деятельности муниципального казенного учреждения города Торжка "Централизованная бухгалтерия"</t>
  </si>
  <si>
    <t>1004</t>
  </si>
  <si>
    <t>Охрана семьи и детства</t>
  </si>
  <si>
    <t>Компенсация части родительской платы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</si>
  <si>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</si>
  <si>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Подпрограмма "Организация бюджетного процесса"</t>
  </si>
  <si>
    <t>Мероприятия, связанные с организацией и использованием канала связи в целях осуществления электронного документооборота</t>
  </si>
  <si>
    <t>Резервный фонд администрации муниципального образования город Торжок</t>
  </si>
  <si>
    <t>08</t>
  </si>
  <si>
    <t>Поддержка способной инициативной и талантливой молодежи</t>
  </si>
  <si>
    <t>Проведение смотра-конкурса на лучшее студенческое общежитие города Торжка</t>
  </si>
  <si>
    <t>Предоставление услуг в сфере социальной помощи молодежи</t>
  </si>
  <si>
    <t>Проведение городского молодежного туристического слета</t>
  </si>
  <si>
    <t>Развитие и повышение эффективности функционирования муниципальной системы профилактики безнадзорности и правонарушений несовершеннолетних</t>
  </si>
  <si>
    <t>Подпрограмма "Массовая физкультурно-оздоровительная и спортивная работа"</t>
  </si>
  <si>
    <t>Предоставление дополнительного образования спортивной направленности детям  в специализированной детско-юношеской спортивной школе олимпийского резерва</t>
  </si>
  <si>
    <t>1102</t>
  </si>
  <si>
    <t>Организация проведения спортивно-массовых мероприятий и соревнований</t>
  </si>
  <si>
    <t xml:space="preserve">Создание условий для занятий физической культурой и спортом населения в муниципальном  физкультурно-оздоровительном комплексе </t>
  </si>
  <si>
    <t>Субсидии на иные цели муниципальному физкультурно-оздоровительному комплексу на поддержку в организации занятий льготных категорий граждан</t>
  </si>
  <si>
    <t>1105</t>
  </si>
  <si>
    <t>05</t>
  </si>
  <si>
    <t>Подпрограмма "Управление муниципальным имуществом и земельными ресурсами муниципального образования город Торжок"</t>
  </si>
  <si>
    <t>Содержание имущества казны муниципального образования город Торжок</t>
  </si>
  <si>
    <t>Формирование земельных участков, находящихся в ведении муниципального образования город Торжок</t>
  </si>
  <si>
    <t>Муниципальная программа муниципального образования город Торжок «Развитие культуры города Торжка» на  2014  - 2019 годы</t>
  </si>
  <si>
    <t>Подпрограмма "Сохранение и развитие культурного потенциала муниципального образования город Торжок"</t>
  </si>
  <si>
    <t>Комплектование библиотечного фонда муниципального казенного учреждения культуры города Торжка "ЦБС"</t>
  </si>
  <si>
    <t>Организации досуга и обеспечение жителей города услугами организаций культуры</t>
  </si>
  <si>
    <t>Подпрограмма "Социальная поддержка населения города Торжка"</t>
  </si>
  <si>
    <t>Подпрограмма "Поддержка общественного сектора и обеспечение информационной открытости органов местного самоуправления муниципального образования город Торжок"</t>
  </si>
  <si>
    <t>Проведение конкурсов по итогам года "Лучший по профессии" и "Новотор года"</t>
  </si>
  <si>
    <t>Организационное обеспечение проведения мероприятий с участием Главы города</t>
  </si>
  <si>
    <t>Подпрограмма "Обеспечение развития инвестиционного потенциала муниципального образования город Торжок и совершенствование системы программно-целевого планирования и прогнозирования социально-экономического развития муниципального образования город Торжок"</t>
  </si>
  <si>
    <t>Представление муниципального образования город Торжок в работе Ассоциации "Совет муниципальных образований Тверской области"</t>
  </si>
  <si>
    <t>Расходы на предоставление статистической информации территориальным органом Федеральной службы государственной статистики по Тверской области</t>
  </si>
  <si>
    <t>Подпрограмма "Повышение правопорядка и общественной безопасности в городе Торжке"</t>
  </si>
  <si>
    <t>Подпрограмма "Снижение рисков и смягчение последствий чрезвычайных ситуаций на территории города Торжка"</t>
  </si>
  <si>
    <t xml:space="preserve">Предоставление муниципальных услуг  в сфере защиты населения и территорий от чрезвычайных ситуаций </t>
  </si>
  <si>
    <t>Подпрограмма "Содействие развитию субъектов малого и среднего предпринимательства в городе Торжке"</t>
  </si>
  <si>
    <t>Организация и проведение ежегодного смотра-конкурса "Лучшее новогоднее оформление предприятий потребительского рынка"</t>
  </si>
  <si>
    <t>Подпрограмма "Развитие туристской привлекательности города Торжка"</t>
  </si>
  <si>
    <t>Проведение мероприятий, направленных на привлечение туристского потока в город Торжок</t>
  </si>
  <si>
    <t>Участие муниципального образования в российских выставочно-конгрессных мероприятиях в сфере туризма</t>
  </si>
  <si>
    <t>Подпрограмма "Содействие в обеспечении жильем молодых семей"</t>
  </si>
  <si>
    <t>Предоставление социальных выплат молодым семьям на улучшение жилищных условий</t>
  </si>
  <si>
    <t>Подпрограмма "Организация благоустройства территории муниципального образования город Торжок"</t>
  </si>
  <si>
    <t>Уличное освещение</t>
  </si>
  <si>
    <t>Развитие и содержание сетей уличного освещения в границах города</t>
  </si>
  <si>
    <t>Проведение мероприятий по озеленению улиц города</t>
  </si>
  <si>
    <t>Ликвидация несанкционированных свалок на территории муниципального образования город Торжок</t>
  </si>
  <si>
    <t>0405</t>
  </si>
  <si>
    <t>Сельское хозяйство и рыболовство</t>
  </si>
  <si>
    <t>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</si>
  <si>
    <t>Предоставление дополнительного образования детей в области культуры</t>
  </si>
  <si>
    <t>ПП</t>
  </si>
  <si>
    <t>МП</t>
  </si>
  <si>
    <t>01</t>
  </si>
  <si>
    <t>02</t>
  </si>
  <si>
    <t>03</t>
  </si>
  <si>
    <t>04</t>
  </si>
  <si>
    <t>06</t>
  </si>
  <si>
    <t>07</t>
  </si>
  <si>
    <t>09</t>
  </si>
  <si>
    <t>99</t>
  </si>
  <si>
    <t>Реализация отдельных мероприятий по автоматизации бюджетного процесса, включая управление закупками и информационно-правовое обеспечение бюджетного процесса</t>
  </si>
  <si>
    <t>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</si>
  <si>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Муниципальная программа муниципального образования город Торжок  «Муниципальное управление и гражданское общество» на  2014  - 2019 годы</t>
  </si>
  <si>
    <t>Субсидии юридическим лицам на возмещение части затрат, связанных с производством, выпуском и распространением периодических печатных изданий (газет), в отношении которых муниципальное образование город Торжок не является учредителем (соучредителем)</t>
  </si>
  <si>
    <t>Капитальный ремонт общего имущества многоквартирных жилых домов в части доли имущества, находящегося в муниципальной собственности</t>
  </si>
  <si>
    <t>Организация и обеспечение отдыха и оздоровление детей города Торжка</t>
  </si>
  <si>
    <t>Оказание адресной материальной помощи отдельным категориям граждан</t>
  </si>
  <si>
    <t>Выполнение работ по восстановлению изношенных покрытий автомобильных дорог общего пользования местного значения города Торжка (ямочный ремонт)</t>
  </si>
  <si>
    <t>Содействие в материально-техническом оснащении и ремонте специализированной детско-юношеской спортивной школы олимпийского резерва</t>
  </si>
  <si>
    <t>Содействие в организации добровольческой деятельности молодежи</t>
  </si>
  <si>
    <t>0800000000</t>
  </si>
  <si>
    <t>0890000000</t>
  </si>
  <si>
    <t>089012011О</t>
  </si>
  <si>
    <t>089012012О</t>
  </si>
  <si>
    <t>089012013О</t>
  </si>
  <si>
    <t>089011051О</t>
  </si>
  <si>
    <t>0810000000</t>
  </si>
  <si>
    <t>081022001Б</t>
  </si>
  <si>
    <t>0820000000</t>
  </si>
  <si>
    <t>082012001Б</t>
  </si>
  <si>
    <t>082022002Б</t>
  </si>
  <si>
    <t>0830000000</t>
  </si>
  <si>
    <t>083012001Б</t>
  </si>
  <si>
    <t>0850000000</t>
  </si>
  <si>
    <t>085022002Б</t>
  </si>
  <si>
    <t>089011054О</t>
  </si>
  <si>
    <t>089015930О</t>
  </si>
  <si>
    <t>0840000000</t>
  </si>
  <si>
    <t>084012001М</t>
  </si>
  <si>
    <t>0500000000</t>
  </si>
  <si>
    <t>0540000000</t>
  </si>
  <si>
    <t>054021055Б</t>
  </si>
  <si>
    <t>0600000000</t>
  </si>
  <si>
    <t>0610000000</t>
  </si>
  <si>
    <t>061012001Б</t>
  </si>
  <si>
    <t>061022002Б</t>
  </si>
  <si>
    <t>061022005В</t>
  </si>
  <si>
    <t>0620000000</t>
  </si>
  <si>
    <t>062012005Б</t>
  </si>
  <si>
    <t>0700000000</t>
  </si>
  <si>
    <t>0710000000</t>
  </si>
  <si>
    <t>071022002Б</t>
  </si>
  <si>
    <t>071042003Б</t>
  </si>
  <si>
    <t>0720000000</t>
  </si>
  <si>
    <t>072012001Б</t>
  </si>
  <si>
    <t>072012002Б</t>
  </si>
  <si>
    <t>0400000000</t>
  </si>
  <si>
    <t>054012001Б</t>
  </si>
  <si>
    <t>054012002Б</t>
  </si>
  <si>
    <t>054012003Б</t>
  </si>
  <si>
    <t>054012004Б</t>
  </si>
  <si>
    <t>054022006Б</t>
  </si>
  <si>
    <t>0200000000</t>
  </si>
  <si>
    <t>0210000000</t>
  </si>
  <si>
    <t>021032002М</t>
  </si>
  <si>
    <t>021022001М</t>
  </si>
  <si>
    <t>021032003И</t>
  </si>
  <si>
    <t>021012001К</t>
  </si>
  <si>
    <t>021012010К</t>
  </si>
  <si>
    <t>0860000000</t>
  </si>
  <si>
    <t>086012001П</t>
  </si>
  <si>
    <t>085022002С</t>
  </si>
  <si>
    <t>086022003П</t>
  </si>
  <si>
    <t>086012002П</t>
  </si>
  <si>
    <t>085012003С</t>
  </si>
  <si>
    <t>085012004С</t>
  </si>
  <si>
    <t>1000000000</t>
  </si>
  <si>
    <t>1090000000</t>
  </si>
  <si>
    <t>109012012О</t>
  </si>
  <si>
    <t>992002000А</t>
  </si>
  <si>
    <t>1010000000</t>
  </si>
  <si>
    <t>101012001Б</t>
  </si>
  <si>
    <t>1030000000</t>
  </si>
  <si>
    <t>103032001Б</t>
  </si>
  <si>
    <t>0900000000</t>
  </si>
  <si>
    <t>0910000000</t>
  </si>
  <si>
    <t>099012012О</t>
  </si>
  <si>
    <t>091012010Б</t>
  </si>
  <si>
    <t>091012020Б</t>
  </si>
  <si>
    <t>0990000000</t>
  </si>
  <si>
    <t>091032040Б</t>
  </si>
  <si>
    <t>091012002В</t>
  </si>
  <si>
    <t>0430000000</t>
  </si>
  <si>
    <t>999002041Д</t>
  </si>
  <si>
    <t>999002042Д</t>
  </si>
  <si>
    <t>0300000000</t>
  </si>
  <si>
    <t>0310000000</t>
  </si>
  <si>
    <t>031022002М</t>
  </si>
  <si>
    <t>031022003И</t>
  </si>
  <si>
    <t>0100000000</t>
  </si>
  <si>
    <t>0110000000</t>
  </si>
  <si>
    <t>0120000000</t>
  </si>
  <si>
    <t>012012001Б</t>
  </si>
  <si>
    <t>012012002Б</t>
  </si>
  <si>
    <t>012012001М</t>
  </si>
  <si>
    <t>012012001И</t>
  </si>
  <si>
    <t>012012002И</t>
  </si>
  <si>
    <t>0420000000</t>
  </si>
  <si>
    <t>031012001Б</t>
  </si>
  <si>
    <t>031012001М</t>
  </si>
  <si>
    <t>031012002И</t>
  </si>
  <si>
    <t>0390000000</t>
  </si>
  <si>
    <t>039012012О</t>
  </si>
  <si>
    <t>011012001М</t>
  </si>
  <si>
    <t>011012001И</t>
  </si>
  <si>
    <t>011012003И</t>
  </si>
  <si>
    <t>011011074М</t>
  </si>
  <si>
    <t>011022002М</t>
  </si>
  <si>
    <t>011032003М</t>
  </si>
  <si>
    <t>011032004М</t>
  </si>
  <si>
    <t>011022004И</t>
  </si>
  <si>
    <t>01102S023И</t>
  </si>
  <si>
    <t>011021075М</t>
  </si>
  <si>
    <t>0190000000</t>
  </si>
  <si>
    <t>019012012О</t>
  </si>
  <si>
    <t>019012001К</t>
  </si>
  <si>
    <t>019012002К</t>
  </si>
  <si>
    <t>011011050Б</t>
  </si>
  <si>
    <t>021012004К</t>
  </si>
  <si>
    <t>9900000000</t>
  </si>
  <si>
    <t>012012004Б</t>
  </si>
  <si>
    <t>Финансовое обеспечение реализации государственных полномочий по созданию и организации деятельности комиссий по делам несовершеннолетних и защите их прав</t>
  </si>
  <si>
    <t>04301R082Г</t>
  </si>
  <si>
    <t>000 01 03 00 00 00 0000 000</t>
  </si>
  <si>
    <t>Бюджетные кредиты от других бюджетов бюджетной системы Российской Федерации</t>
  </si>
  <si>
    <t>000 01 03 01 00 00 0000 800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</si>
  <si>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</si>
  <si>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000 01 03 01 00 04 0000 810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</si>
  <si>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</si>
  <si>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Дорожное хозяйство (дорожные фонды)</t>
  </si>
  <si>
    <t>0703</t>
  </si>
  <si>
    <t>Дополнительное образование детей</t>
  </si>
  <si>
    <t>1200</t>
  </si>
  <si>
    <t>1300</t>
  </si>
  <si>
    <t>1301</t>
  </si>
  <si>
    <t>Обслуживание государственного внутреннего и муниципального долга</t>
  </si>
  <si>
    <t>7</t>
  </si>
  <si>
    <t>Муниципальная программа муниципального образования город Торжок "Муниципальное управление и гражданское общество" на 2014-2019годы</t>
  </si>
  <si>
    <t>0890100000</t>
  </si>
  <si>
    <t>Обеспечение деятельности ответственного исполнителя и исполнителей программы</t>
  </si>
  <si>
    <t>Закупка товаров, работ и услуг для обеспечения  государственных (муниципальных ) нужд</t>
  </si>
  <si>
    <t>Расходы по центральному аппарату на выполнение полномочий муниципального образования, за исключением переданных государственных полномочий Российской Федерации и Тверской области</t>
  </si>
  <si>
    <t>Расходы по центральному аппарату на выполнение переданных муниципальному образованию государственных полномочий Российской Федерации и Тверской  области</t>
  </si>
  <si>
    <t>Подпрограмма "Создание условий для эффективного функционирования исполнения исполнительных органов местного самоуправления муниципального образования город  Торжок</t>
  </si>
  <si>
    <t>0810200000</t>
  </si>
  <si>
    <t>Задача "Организационное обеспечение эффективного выполнения органами местного самоуправления возложенных на них функций"</t>
  </si>
  <si>
    <t>081022003Б</t>
  </si>
  <si>
    <t>Разработка местных нормативов градостроительного проектирования муниципального образования город Торжок</t>
  </si>
  <si>
    <t>0820100000</t>
  </si>
  <si>
    <t>Задача "Формирование и поддержание позитивного имиджа муниципального образования город Торжок как города, благоприятного для инвестиционной и предпринимательской деятельности"</t>
  </si>
  <si>
    <t>0820200000</t>
  </si>
  <si>
    <t>Задача "Мониторинг социально-экономического развития муниципального образования город Торжок"</t>
  </si>
  <si>
    <t>0830100000</t>
  </si>
  <si>
    <t>Задача "Развитие системы профилактики правонарушений и преступлений в городе Торжке"</t>
  </si>
  <si>
    <t>Поощрение народных дружин за активное участие в охране общественного порядка</t>
  </si>
  <si>
    <t>0850200000</t>
  </si>
  <si>
    <t>Задача "Поддержка развития общественного сектора и обеспечение эффективного взаимодействия органов местного самоуправления с общественными институтами"</t>
  </si>
  <si>
    <t>Осуществление государственных полномочий на государственную регистрацию актов гражданского состояния</t>
  </si>
  <si>
    <t>Муниципальная программа муниципального образования город Торжок "Жилищно-коммунальное хозяйство города Торжка на 2014-2019годы"</t>
  </si>
  <si>
    <t>0540200000</t>
  </si>
  <si>
    <t>Задача "Улучшение состояния окружающей среды, повышение экологической культуры населения, снижение риска заболеваемости бешенством на территории города Торжка"</t>
  </si>
  <si>
    <t>Муниципальная программа муниципального образования город Торжок "Дорожное  хозяйство и общественный транспорт города Торжка на 2014-2019 годы"</t>
  </si>
  <si>
    <t>0610100000</t>
  </si>
  <si>
    <t>Задача "Содержание автомобильных дорог общего пользования местного значения города Торжка и сооружений на них"</t>
  </si>
  <si>
    <t>Содержание автомобильных дорог общего пользования местного значения города Торжка и сооружений на них, нацеленное на обеспечение их проезжаемости и безопасности</t>
  </si>
  <si>
    <t>0610200000</t>
  </si>
  <si>
    <t>Задача "Капитальный ремонт (ремонт) автомобильных дорог общего пользования местного значения города Торжка и сооружений на них, в том числе разработка проектной документации"</t>
  </si>
  <si>
    <t>Капитальный ремонт и ремонт автомобильных дорог общего пользования местного значения города Торжка</t>
  </si>
  <si>
    <t>Задача "Капитальный ремонт и ремонт дворовых территорий многоквартирных домов, проездов к дворовым территориям многоквартирных домов города Торжка"</t>
  </si>
  <si>
    <t>"Обеспечение безопасных условий дорожного движения на территории муниципального образования город Торжок"</t>
  </si>
  <si>
    <t>0620100000</t>
  </si>
  <si>
    <t>Задача "Создание условий по обеспечению охраны жизни, здоровья граждан, их законных прав на безопасные условия движения на улично-дорожной сети города Торжка"</t>
  </si>
  <si>
    <t>Нанесение горизонтальной дорожной разметки на улично-дорожной сети города Торжка</t>
  </si>
  <si>
    <t>Муниципальная программа муниципального образования город Торжок «Развитие малого и среднего предпринимательства в городе Торжке» на 2014-2019 годы</t>
  </si>
  <si>
    <t>0710200000</t>
  </si>
  <si>
    <t>Задача "Создание положительного имиджа предпринимателей"</t>
  </si>
  <si>
    <t>071022004Б</t>
  </si>
  <si>
    <t>0710400000</t>
  </si>
  <si>
    <t>Задача "Развитие молодежного предпринимательства"</t>
  </si>
  <si>
    <t>Создание условий для организации предпрофильной подготовки по основам предпринимательства и малого бизнеса среди молодежи города Торжка и информационно-пропагандистической деятельности, направленной на решение проблемных вопросов предпринимательства на базе Делового информационно-образовательного центра города</t>
  </si>
  <si>
    <t>0720100000</t>
  </si>
  <si>
    <t>Задача "Развитие туристской инфраструктуры города Торжка"</t>
  </si>
  <si>
    <t>0520000000</t>
  </si>
  <si>
    <t>Подпрограмма "Повышение надежности и эффективности функционирования объектов коммунального хозяйства города Торжка"</t>
  </si>
  <si>
    <t>0520200000</t>
  </si>
  <si>
    <t>Задача "Развитие коммунальной инфраструктуры города Торжка"</t>
  </si>
  <si>
    <t>Капитальные  вложения в объекты недвижимого имущества государственной (муниципальной) собственности</t>
  </si>
  <si>
    <t>052022004Б</t>
  </si>
  <si>
    <t>Перевод объектов на автономное теплоснабжение</t>
  </si>
  <si>
    <t>0540100000</t>
  </si>
  <si>
    <t>Задача "Повышение благоустройства территории муниципального образования город Торжок"</t>
  </si>
  <si>
    <t>Проведение мероприятий по содержанию мест захоронений</t>
  </si>
  <si>
    <t>054012008Б</t>
  </si>
  <si>
    <t>Разработка проектно-сметной документации и выполнение работ по благоустройству территории муниципального образования город Торжок</t>
  </si>
  <si>
    <t>Муниципальная программа муниципального образования город Торжок "Развитие образования города Торжка" на 2014-2019годы</t>
  </si>
  <si>
    <t>0130000000</t>
  </si>
  <si>
    <t>Подпрограмма "Социальная реабилитация детей, находящихся в конфликте с законом (совершивших правонарушения и преступления), профилактика безнадзорности и беспризорности детей, преступности несовершеннолетних, в том числе повторной</t>
  </si>
  <si>
    <t>Задача "Создание непрерывного комплексного социального сопровождения, социализации и реабилитации несовершеннолетних, склонных к совершению или совершивших правонарушения и преступления, а также безнадзорных несовершеннолетних"</t>
  </si>
  <si>
    <t>013012001Б</t>
  </si>
  <si>
    <t>Реализация инновационного социального проекта муниципального образования город Торжок по комплексной социальной реабилитации и адаптации детей, находящихся в конфликте с законом, безнадзорных и беспризорных детей "Вам захочется жить по-другому"</t>
  </si>
  <si>
    <t>Муниципальная программа муниципального образования город Торжок «Развитие культуры города Торжка» на  2014-2019 годы</t>
  </si>
  <si>
    <t>0210100000</t>
  </si>
  <si>
    <t>Задача "Сохранение и развитие библиотечного дела в городе Торжке"</t>
  </si>
  <si>
    <t>Проведение ремонта помещения МКУК города Торжка "Централизованная библиотечная система"</t>
  </si>
  <si>
    <t>Организация библиотечного обслуживания населения</t>
  </si>
  <si>
    <t>0210300000</t>
  </si>
  <si>
    <t>Задача "Развитие художественного образования детей города Торжка"</t>
  </si>
  <si>
    <t>Проведение городских культурно-массовых мероприятий бюджетным учреждением в сфере предоставления услуг дополнительного образования в области культуры</t>
  </si>
  <si>
    <t>600</t>
  </si>
  <si>
    <t>Предоставление субсидий  бюджетным, автономным учреждениям и иным некоммерческим организациям</t>
  </si>
  <si>
    <t>0860100000</t>
  </si>
  <si>
    <t>Задача "Повышение статуса граждан, получивших признание за достижения в трудовой, общественной и иной деятельности"</t>
  </si>
  <si>
    <t>Содействие социально ориентированным некоммерческим организациям в реализации ими целевых социальных проектов</t>
  </si>
  <si>
    <t>Обеспечение мер социальной поддержки для лиц, удостоенных звания "Почетный гражданин города Торжка"</t>
  </si>
  <si>
    <t>0860200000</t>
  </si>
  <si>
    <t>Задача "Социальная поддержка и улучшение качества жизни социально-уязвимых категорий граждан и граждан, оказавшихся в трудной жизненной и экстремальной ситуации, за счет развития адресных форм социальной помощи"</t>
  </si>
  <si>
    <t>0850100000</t>
  </si>
  <si>
    <t>Задача "Обеспечение информационной открытости органов местного самоуправления муниципального образования город Торжок"</t>
  </si>
  <si>
    <t>Субсидии юридическим лицам (за исключением субсидий государственным (муниципальным) учреждениям), оказывающим услуги в сфере электронных средств массовой информации, учредителем (соучредителем) которых является муниципальное образование город Торжок</t>
  </si>
  <si>
    <t>08501S032C</t>
  </si>
  <si>
    <t>Субсидии юридическим лицам на возмещение части затрат, связанных с производством, выпуском и распространением периодического печатного издания (газеты), учредителем (соучредителем) которого является администрация города Торжка</t>
  </si>
  <si>
    <t>Муниципальная программа муниципального образования город Торжок «Управление муниципальными финансами» на 2014-2019 годы</t>
  </si>
  <si>
    <t>1090100000</t>
  </si>
  <si>
    <t>Обеспечение деятельности исполнителя программы</t>
  </si>
  <si>
    <t>Расходы, не включенные в муниципальные программы</t>
  </si>
  <si>
    <t>9920000000</t>
  </si>
  <si>
    <t>Подпрограмма "Обеспечение прозрачности и открытости бюджетного процесса"</t>
  </si>
  <si>
    <t>1010100000</t>
  </si>
  <si>
    <t>Задача "Комплексная автоматизация бюджетного процесса муниципального образования город Торжок, включая управление закупками и информационно-правовое обеспечение бюджетного процесса"</t>
  </si>
  <si>
    <t>1030300000</t>
  </si>
  <si>
    <t>Задача "Совершенствование кассового обслуживания исполнения бюджета муниципального образования"</t>
  </si>
  <si>
    <t>9940000000</t>
  </si>
  <si>
    <t>Мероприятия, не включенные в муниципальные программы муниципального образования город Торжок</t>
  </si>
  <si>
    <t>994002000Я</t>
  </si>
  <si>
    <t>Средства на реализацию мероприятий по обращениям, поступающим к депутатам Торжокской городской Думы</t>
  </si>
  <si>
    <t>1020000000</t>
  </si>
  <si>
    <t>Подпрограмма "Обеспечение сбалансированности и финансовой устойчивости бюджета муниципального образования город Торжок"</t>
  </si>
  <si>
    <t>1020100000</t>
  </si>
  <si>
    <t>Задача "Достижение приемлемых и экономически обоснованных объема и структуры муниципального долга"</t>
  </si>
  <si>
    <t>102012001Б</t>
  </si>
  <si>
    <t>Обслуживание муниципального долга</t>
  </si>
  <si>
    <t>700</t>
  </si>
  <si>
    <t>Обслуживание государственного (муниципального ) долга</t>
  </si>
  <si>
    <t>Учреждение Комитет по управлению имуществом города Торжка</t>
  </si>
  <si>
    <t>Муниципальная программа муниципального образования город Торжок «Управление имуществом и земельными ресурсами муниципального образования» на  2014-2019 годы</t>
  </si>
  <si>
    <t>0910100000</t>
  </si>
  <si>
    <t>Задача "Повышение эффективности использования муниципального имущества, не закрепленного за юридическими лицами, за исключением земельных участков"</t>
  </si>
  <si>
    <t>Оценка недвижимости, признание прав и регулирование отношений по муниципальной собственности</t>
  </si>
  <si>
    <t>0990100000</t>
  </si>
  <si>
    <t>0910300000</t>
  </si>
  <si>
    <t>Задача "Повышение эффективности использования муниципального имущества в части земельных участков"</t>
  </si>
  <si>
    <t>Муниципальная программа муниципального образования город Торжок "Обеспечение доступным жильем населения города Торжка и развитие жилищного строительства " на 2014-2019 годы</t>
  </si>
  <si>
    <t>Подпрограмма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</si>
  <si>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0430100000</t>
  </si>
  <si>
    <t>Задача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по договорам найма специализированных жилых помещений"</t>
  </si>
  <si>
    <t>9990000000</t>
  </si>
  <si>
    <t>Председатель Торжокской Думы</t>
  </si>
  <si>
    <t>Центральный аппарат органов, не включенных в муниципальные программы муниципального образования город Торжок</t>
  </si>
  <si>
    <t>Муниципальная программа муниципального образования город Торжок "Развитие физической  культуры и спорта города Торжка" на 2014 -2019годы</t>
  </si>
  <si>
    <t>0310200000</t>
  </si>
  <si>
    <t>Задача "Развитие детско-юношеского спорта в системе муниципальных бюджетных учреждений дополнительного образования детей спортивной направленности"</t>
  </si>
  <si>
    <t>031022004И</t>
  </si>
  <si>
    <t>Содействие в проведении областных, межрегиональных и всероссийских турниров по видам спорта</t>
  </si>
  <si>
    <t>Подпрограмма "Создание условий для вовлечения молодежи города Торжка в общественно-политическую, социально-экономическую и культурную жизнь общества"</t>
  </si>
  <si>
    <t>0120100000</t>
  </si>
  <si>
    <t>Задача "Создание условий для гражданского становления, эффективной социализации и самореализации молодых граждан"</t>
  </si>
  <si>
    <t>Организация трудовых отрядов несовершеннолетних в возрасте от 14 до 18 лет в свободное от учебы время</t>
  </si>
  <si>
    <t>012012005П</t>
  </si>
  <si>
    <t>Выплата именной стипендии Главы города Торжка студентам средних специальных учебных заведений</t>
  </si>
  <si>
    <t>0120200000</t>
  </si>
  <si>
    <t>Задача "Профилактика безнадзорности и правонарушений несовершеннолетних"</t>
  </si>
  <si>
    <t>012022004И</t>
  </si>
  <si>
    <t>0420100000</t>
  </si>
  <si>
    <t>Задача "Содействие в решении жилищных проблем молодых семей"</t>
  </si>
  <si>
    <t>04201L020Б</t>
  </si>
  <si>
    <t>0310100000</t>
  </si>
  <si>
    <t>Задача "Развитие массового спорта и физкультурно-оздоровительного движения среди всех возрастных групп и категорий населения муниципального образования город Торжок"</t>
  </si>
  <si>
    <t>0310300000</t>
  </si>
  <si>
    <t>Задача "Развитие инфраструктуры массового спорта, укрепление материально-технической базы учреждений физкультурно-спортивной направленности на территории муниципального образования город Торжок за счет реализации муниципальных и областных проектов"</t>
  </si>
  <si>
    <t>0390100000</t>
  </si>
  <si>
    <t>0110100000</t>
  </si>
  <si>
    <t>Задача "Содействие развитию системы дошкольного образования в городе Торжке"</t>
  </si>
  <si>
    <t>Проведение ремонта зданий и помещений муниципальных бюджетных дошкольных образовательных учреждений</t>
  </si>
  <si>
    <t>0110200000</t>
  </si>
  <si>
    <t>Задача "Удовлетворение потребностей населения города Торжка в получении услуг общего образования"</t>
  </si>
  <si>
    <t>Проведение ремонта зданий и помещений муниципальных бюджетных общеобразовательных учреждений</t>
  </si>
  <si>
    <t>01102S024Б</t>
  </si>
  <si>
    <t>0190100000</t>
  </si>
  <si>
    <t>Обеспечение деятельности ответственного исполнителя программы</t>
  </si>
  <si>
    <t>0840100000</t>
  </si>
  <si>
    <t>Задача "Повышение готовности органов местного самоуправления к защите населения и территорий от чрезвычайных ситуаций"</t>
  </si>
  <si>
    <t>Организация и проведение городских профессиональных конкурсов, фестивалей среди субъектов малого и среднего предпринимательства</t>
  </si>
  <si>
    <t>0210200000</t>
  </si>
  <si>
    <t>Задача "Поддержка профессионального искусства и народного творчества в городе Торжке"</t>
  </si>
  <si>
    <t>0110300000</t>
  </si>
  <si>
    <t>Задача "Обеспечение создания условий для воспитания гармонично развитой творческой личности в условиях современного социума"</t>
  </si>
  <si>
    <t>Обслуживание государственного и муниципального долга</t>
  </si>
  <si>
    <t xml:space="preserve">Молодежная политика </t>
  </si>
  <si>
    <t xml:space="preserve">Расходы, не включенные в муниципальные программы </t>
  </si>
  <si>
    <t>994002003Б</t>
  </si>
  <si>
    <t>Исполнение судебных актов</t>
  </si>
  <si>
    <t>052022004Г</t>
  </si>
  <si>
    <t>Развитие системы теплоснабжения в границах города</t>
  </si>
  <si>
    <t>Подпрограмма "Сохранение и улучшение транспортно-эксплуатационного состояния улично-дорожной сети города Торжка"</t>
  </si>
  <si>
    <t>Проведение ремонта зданий и помещений муниципальных бюджетных общеобразовательных учреждений на условиях софинансирования за счет средств местного бюджета</t>
  </si>
  <si>
    <t>01102S044И</t>
  </si>
  <si>
    <t>03103S040Б</t>
  </si>
  <si>
    <t>Содействие в укреплении материально-технической базы специализированной детско-юношеской спортивной школы олимпийского резерва на условиях софинансирования за счет средств местного бюджета</t>
  </si>
  <si>
    <t>03102S048И</t>
  </si>
  <si>
    <t>Капитальный ремонт и ремонт автомобильных дорог общего пользования местного значения города Торжка на условиях софинансирования за счет средств местного бюджета</t>
  </si>
  <si>
    <t>06102S020В</t>
  </si>
  <si>
    <t>06103S021В</t>
  </si>
  <si>
    <t>0610300000</t>
  </si>
  <si>
    <t>Капитальный ремонт и ремонт дворовых территорий многоквартирных домов, проездов к дворовым территориям многоквартирных домов города Торжка Торжка на условиях софинансирования за счет средств местного бюджета</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</si>
  <si>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t>
  </si>
  <si>
    <t>Управление образования администрации города Торжка Тверской области</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</si>
  <si>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Тверской области</t>
  </si>
  <si>
    <t>Субвенции на 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</si>
  <si>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t>
  </si>
  <si>
    <t>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</si>
  <si>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Субвенции на осуществление государственных полномочий по государственной регистрации актов гражданского состояния</t>
  </si>
  <si>
    <t>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</si>
  <si>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 xml:space="preserve">Субвенции на осуществление государственных полномочий по обеспечению благоустроенными жилыми помещениями специализированного жилищного фонда детей-сирот, детей, оставшихся без попечения родителей, лиц из их числа по договорам найма специализированных жилых помещений </t>
  </si>
  <si>
    <t>054011043Б</t>
  </si>
  <si>
    <t>Реализация программы по поддержке местных инициатив за счет средств областного бюджета</t>
  </si>
  <si>
    <t>Реализация программы по поддержке местных инициатив за счет средств местного бюджета</t>
  </si>
  <si>
    <t>05401S043Б</t>
  </si>
  <si>
    <t>Субсидии на реализацию программ по поддержке местных инициатив в Тверской области на территории городских округов Тверской области</t>
  </si>
  <si>
    <t>06103S043Б</t>
  </si>
  <si>
    <t>061031043Б</t>
  </si>
  <si>
    <t>Субсидии на организацию отдыха детей в каникулярное время</t>
  </si>
  <si>
    <t>Субсидии на организацию обеспечения учащихся начальных классов муниципальных общеобразовательных организаций горячим питанием</t>
  </si>
  <si>
    <t>Комитет по управлению имуществом муниципального образования город Торжок Тверской области</t>
  </si>
  <si>
    <t>01101L027И</t>
  </si>
  <si>
    <t>Реализация мероприятий, направленных на создание условий для получения детьми-инвалидами качественного образования в муниципальных бюджетных дошкольных образовательных учреждениях города Торжка</t>
  </si>
  <si>
    <t>011022009И</t>
  </si>
  <si>
    <t xml:space="preserve">Оснащение муниципальных бюджетных общеобразовательных учреждений </t>
  </si>
  <si>
    <t>01103S048И</t>
  </si>
  <si>
    <t xml:space="preserve">Содействие в укреплении материально-технической базы детско-юношеской спортивной школы на условиях софинансирования за счет средств местного бюджета </t>
  </si>
  <si>
    <t>01102S066И</t>
  </si>
  <si>
    <t>Организация посещения обучающимися муниципальных образовательных организаций города Торжка Тверского императорского дворца</t>
  </si>
  <si>
    <t>0401</t>
  </si>
  <si>
    <t xml:space="preserve">Общеэкономические вопросы
</t>
  </si>
  <si>
    <t>0610400000</t>
  </si>
  <si>
    <t>Задача "Обеспечение развития транспортной инфраструктуры муниципального образования город Торжок"</t>
  </si>
  <si>
    <t>061042008Б</t>
  </si>
  <si>
    <t xml:space="preserve">Разработка программы комплексного развития транспортной инфраструктуры муниципального образования город Торжок </t>
  </si>
  <si>
    <t>Закупка товаров, работ и услуг для обеспечения государственных (муниципальных) нужд</t>
  </si>
  <si>
    <t>054012005Б</t>
  </si>
  <si>
    <t>Проведение мероприятий по восстановлению воинских захоронений за счет средств местного бюджета</t>
  </si>
  <si>
    <t>0107</t>
  </si>
  <si>
    <t>Обеспечение проведения выборов и референдумов</t>
  </si>
  <si>
    <t>994002000Б</t>
  </si>
  <si>
    <t>Расходы на проведение выборов в представительный орган муниципального образования</t>
  </si>
  <si>
    <t>011022006И</t>
  </si>
  <si>
    <t>021022007И</t>
  </si>
  <si>
    <t>Проведение противопожарных мероприятий и ремонтных работ бюджетным учреждением города Торжка в сфере осуществления культурно-досуговых мероприятий</t>
  </si>
  <si>
    <t>02102L558И</t>
  </si>
  <si>
    <t xml:space="preserve">Обеспечение развития и укрепления материально-технической базы МБУ «Городской Дом культуры» </t>
  </si>
  <si>
    <t>02102S034И</t>
  </si>
  <si>
    <t>Материально-техническое обеспечение МБУ «Городской Дом культуры»</t>
  </si>
  <si>
    <t>Укрепление материально-технической базы МБУ ДО «Детская школа искусств»</t>
  </si>
  <si>
    <t xml:space="preserve">Обеспечение комплексной безопасности зданий и помещений муниципальных бюджетных общеобразовательных учреждений </t>
  </si>
  <si>
    <t>011021023И</t>
  </si>
  <si>
    <t>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t>
  </si>
  <si>
    <t>089011057О</t>
  </si>
  <si>
    <t xml:space="preserve">Осуществление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</si>
  <si>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 xml:space="preserve">Субвенции на осуществление органами местного самоуправления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</si>
  <si>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011021044И</t>
  </si>
  <si>
    <t>Субсидии на укрепление материально-технической базы муниципальных общеобразовательных организаций</t>
  </si>
  <si>
    <t>Проведение капитального ремонта зданий и помещений муниципальных бюджетных общеобразовательных учреждений на условиях софинансирования за счет средств областного бюджета</t>
  </si>
  <si>
    <t>011021024И</t>
  </si>
  <si>
    <t>011021024Б</t>
  </si>
  <si>
    <t>Организация отдыха детей в каникулярное время за счет средств областного бюджета (частичное возмещение стоимости путевок)</t>
  </si>
  <si>
    <t>Организация отдыха детей в каникулярное время за счет средств областного бюджета</t>
  </si>
  <si>
    <t>085011032С</t>
  </si>
  <si>
    <t xml:space="preserve">Субсидии юридическим лицам на возмещение части затрат, связанных с производством, выпуском и распространением периодического печатного издания (газеты), учредителем (соучредителем) которого является администрация  города Торжка за счет средств областного бюджета  </t>
  </si>
  <si>
    <t>Субсидии на реализацию расходных обязательств муниципальных образований Тверской области по поддержке редакций районных и городских газет</t>
  </si>
  <si>
    <t>04201R020Б</t>
  </si>
  <si>
    <t>Предоставление социальных выплат молодым семьям на улучшение жилищных условий за счет средств областного и федерального бюджетов</t>
  </si>
  <si>
    <t>Субсидии на капитальный ремонт и ремонт автомобильных дорог общего пользования местного значения</t>
  </si>
  <si>
    <t>061031021В</t>
  </si>
  <si>
    <t>061021020В</t>
  </si>
  <si>
    <t>Капитальный ремонт и ремонт дворовых территорий многоквартирных домов, проездов к дворовым территориям многоквартирных домов города Торжка Торжка  за счет средств областного бюджета</t>
  </si>
  <si>
    <t>Капитальный ремонт и ремонт автомобильных дорог общего пользования местного значения города Торжка за счет средств областного бюджета</t>
  </si>
  <si>
    <t>Управление финансов администрации муниципального образования город Торжок</t>
  </si>
  <si>
    <t>Капитальный ремонт и ремонт дворовых территорий многоквартирных домов, проездов к дворовым территориям многоквартирных домов города  Торжка  за счет средств областного бюджета</t>
  </si>
  <si>
    <t>Капитальный ремонт и ремонт дворовых территорий многоквартирных домов, проездов к дворовым территориям многоквартирных домов города Торжка на условиях софинансирования за счет средств местного бюджета</t>
  </si>
  <si>
    <t>Приобретение и установка плоскостных спортивных сооружений и оборудования на плоскостные спортивные сооружения на территории города на условиях софинансирования за счет средств местного бюджета</t>
  </si>
  <si>
    <t xml:space="preserve">Субсидии на обеспечение жильем молодых семей </t>
  </si>
  <si>
    <t>Субсидии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</si>
  <si>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Субсидии на приобретение и установку плоскостных спортивных сооружений и оборудования на плоскостные спортивные сооружения на территории Тверской области</t>
  </si>
  <si>
    <t>031031040Б</t>
  </si>
  <si>
    <t>Приобретение и установка плоскостных спортивных сооружений и оборудования на плоскостные спортивные сооружения на территории города на условиях софинансирования за счет средств областного бюджета</t>
  </si>
  <si>
    <t>Субсидии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t>
  </si>
  <si>
    <t>011021066И</t>
  </si>
  <si>
    <t>01101R027И</t>
  </si>
  <si>
    <t>Субсидии на реализацию мероприятий государственной программы Российской Федерации "Доступная среда" на 2011-2020 годы</t>
  </si>
  <si>
    <t>Организация посещения обучающимися муниципальных общеобразовательных организаций города Торжка Тверского императорского дворца в части обеспечения подвоза обучающихся за счет средств областного бюджета</t>
  </si>
  <si>
    <t>Реализация мероприятий, направленных на создание условий для получения детьми-инвалидами качественного образования в муниципальных бюджетных дошкольных образовательных учреждениях города Торжка за счет средств областного и федерального бюджетов</t>
  </si>
  <si>
    <t>062012007Б</t>
  </si>
  <si>
    <t>Обеспечение транспортной безопасности объектов транспортной инфраструктуры</t>
  </si>
  <si>
    <t>0130100000</t>
  </si>
  <si>
    <t xml:space="preserve">Обеспечение благоустроенными жилыми помещениями специализированного жилищного фонда детей-сирот и детей, оставшимся без попечения родителей, лиц из их числа по договорам найма специализированных жилых помещений </t>
  </si>
  <si>
    <t>062012006Б</t>
  </si>
  <si>
    <t xml:space="preserve">Установка дорожных знаков на улично-дорожной сети города Торжка </t>
  </si>
  <si>
    <t>Муниципальная программа муниципального образования город Торжок "Жилищно-коммунальное хозяйство города Торжка на 2014-2019 годы"</t>
  </si>
  <si>
    <t>031021048И</t>
  </si>
  <si>
    <t>Содействие в укреплении материально-технической базы специализированной детско-юношеской спортивной школы олимпийского резерва на условиях софинансирования за счет средств областного бюджета</t>
  </si>
  <si>
    <t>011031048И</t>
  </si>
  <si>
    <t xml:space="preserve">Содействие в укреплении материально-технической базы детско-юношеской спортивной школы на условиях софинансирования за счет средств областного бюджета </t>
  </si>
  <si>
    <t>Субсидии на укрепление материально-технической базы муниципальных спортивных школ</t>
  </si>
  <si>
    <t>Межбюджетные трансферты на реализацию мероприятий по обращениям, поступающим к депутатам Законодательного Собрания Тверской области</t>
  </si>
  <si>
    <t>Реализация мероприятий по обращениям, поступающим к депутатам Законодательного Собрания Тверской области</t>
  </si>
  <si>
    <t>995001092Я</t>
  </si>
  <si>
    <t>Средства на реализацию мероприятий по обращениям, поступающим к депутатам Законодательного Собрания Тверской области</t>
  </si>
  <si>
    <t>9950000000</t>
  </si>
  <si>
    <t>Субсидии на повышение заработной платы работникам муниципальных учреждений культуры Тверской области</t>
  </si>
  <si>
    <t>Субсидии на повышение заработной платы педагогическим работникам муниципальных организаций дополнительного образования</t>
  </si>
  <si>
    <t>01103S069М</t>
  </si>
  <si>
    <t>011031069М</t>
  </si>
  <si>
    <t>031021069М</t>
  </si>
  <si>
    <t>021031069И</t>
  </si>
  <si>
    <t>021011068К</t>
  </si>
  <si>
    <t>02101S068К</t>
  </si>
  <si>
    <t>021021068М</t>
  </si>
  <si>
    <t>02102S068М</t>
  </si>
  <si>
    <t xml:space="preserve">Расходы на повышение заработной платы педагогическим работникам муниципальных организаций дополнительного образования за счет средств областного бюджета </t>
  </si>
  <si>
    <t>Расходы на повышение заработной платы работникам муниципальных учреждений культуры за счет средств областного бюджета</t>
  </si>
  <si>
    <t>Субсидии на материально-техническое обеспечение муниципальных культурно-досуговых учреждений культуры</t>
  </si>
  <si>
    <t>021021034И</t>
  </si>
  <si>
    <t>Материально-техническое обеспечение МБУ «Городской Дом культуры» на условиях софинансирования за счет средств областного бюджета</t>
  </si>
  <si>
    <t>02101L5191</t>
  </si>
  <si>
    <t>Комплектование книжных фондов МКУК г. Торжка "Централизованная библиотечная система" на условиях софинансирования за счет средств местного бюджета</t>
  </si>
  <si>
    <t xml:space="preserve">Расходы на повышение заработной платы педагогическим работникам муниципальных организаций дополнительного образования за счет средств местного бюджета </t>
  </si>
  <si>
    <t>Расходы на повышение заработной платы работникам муниципальных учреждений культуры за счет средств местного бюджета</t>
  </si>
  <si>
    <t>083012002Б</t>
  </si>
  <si>
    <t>Обеспечение мер безопасности проведения культурно-зрелищных, спортивных и иных массовых мероприятий</t>
  </si>
  <si>
    <t>Наименование публичного нормативного обязательства</t>
  </si>
  <si>
    <t>Реквизиты нормативного правового акта</t>
  </si>
  <si>
    <t>Код расходов по БК</t>
  </si>
  <si>
    <t>вид</t>
  </si>
  <si>
    <t>дата</t>
  </si>
  <si>
    <t>номер</t>
  </si>
  <si>
    <t>наименование</t>
  </si>
  <si>
    <t>ЦСР</t>
  </si>
  <si>
    <t>Решение</t>
  </si>
  <si>
    <t>186</t>
  </si>
  <si>
    <t>Об утверждении Положения об именных стипендиях Главы города Торжка</t>
  </si>
  <si>
    <t>23.09.2010</t>
  </si>
  <si>
    <t>334</t>
  </si>
  <si>
    <t>О Положении о порядке назначения и выплаты пенсии за выслугу лет к трудовой пенсии по старости (инвалидности) лицам, замещавшим должности муниципальной службы муниципального образования город Торжок</t>
  </si>
  <si>
    <t>Меры социальной поддержки для лиц, удостоенных  звания "Почетный гражданин города Торжка"</t>
  </si>
  <si>
    <t>24.04.2014</t>
  </si>
  <si>
    <t>248</t>
  </si>
  <si>
    <t>О Положении о звании "Почетный гражданин города Торжка"</t>
  </si>
  <si>
    <t>Итого:</t>
  </si>
  <si>
    <t>021032004И</t>
  </si>
  <si>
    <t>012012003И</t>
  </si>
  <si>
    <t>Содействие в материально-техническом оснащении и ремонте подростковых клубов</t>
  </si>
  <si>
    <t>к решению Торжокской городской Думы</t>
  </si>
  <si>
    <t>021031069М</t>
  </si>
  <si>
    <t>02103S069М</t>
  </si>
  <si>
    <t>03102S069М</t>
  </si>
  <si>
    <t>Субсидии на обеспечение развития и укрепления материально-технической базы муниципальных домов культуры</t>
  </si>
  <si>
    <t>02102R558И</t>
  </si>
  <si>
    <t>Обеспечение развития и укрепления материально-технической базы МБУ «Городской Дом культуры» на условиях софинансирования за счет средств областного и федерального бюджетов</t>
  </si>
  <si>
    <t xml:space="preserve">к решению Торжокской городской </t>
  </si>
  <si>
    <t xml:space="preserve"> Адресная инвестиционная программа</t>
  </si>
  <si>
    <t>№ п/п</t>
  </si>
  <si>
    <t xml:space="preserve">Наименование </t>
  </si>
  <si>
    <t xml:space="preserve">Бюджетополучатель    </t>
  </si>
  <si>
    <t>Лимит местного бюджета (тыс. руб.)</t>
  </si>
  <si>
    <t xml:space="preserve">Раздел и подраздел бюджетной классификации расходов </t>
  </si>
  <si>
    <t xml:space="preserve">средства местного бюджета </t>
  </si>
  <si>
    <t xml:space="preserve">средства областного бюджета Тверской области </t>
  </si>
  <si>
    <t>средства федерального бюджета</t>
  </si>
  <si>
    <t>всего</t>
  </si>
  <si>
    <t>х</t>
  </si>
  <si>
    <t>1.1.</t>
  </si>
  <si>
    <t>1.1.1.</t>
  </si>
  <si>
    <t xml:space="preserve">администрация муниципального образования город Торжок </t>
  </si>
  <si>
    <t>Реконструкция тепловых сетей по ул. Луначарского и  ул. Зеленый городок в городе Торжке</t>
  </si>
  <si>
    <t xml:space="preserve">2. </t>
  </si>
  <si>
    <t>2.1.</t>
  </si>
  <si>
    <t>2.1.1.</t>
  </si>
  <si>
    <t>Приобретение в муниципальную собственность жилых помещений</t>
  </si>
  <si>
    <t>Всего</t>
  </si>
  <si>
    <t>011012008И</t>
  </si>
  <si>
    <t>Оснащение муниципальных бюджетных образовательных организаций, предоставляющих услуги дошкольного образования</t>
  </si>
  <si>
    <t>011032005И</t>
  </si>
  <si>
    <t>Оснащение муниципальных бюджетных образовательных организаций дополнительного образования детей</t>
  </si>
  <si>
    <t>021012002К</t>
  </si>
  <si>
    <t xml:space="preserve">Укрепление материально-технической базы МКУК г. Торжка "Централизованная библиотечная система" </t>
  </si>
  <si>
    <t>Приложение 10</t>
  </si>
  <si>
    <t xml:space="preserve">муниципального образования город Торжок за 2017 год </t>
  </si>
  <si>
    <t xml:space="preserve">тыс. руб. </t>
  </si>
  <si>
    <t>Утверждено решением о бюджете</t>
  </si>
  <si>
    <t>Кассовое исполнение</t>
  </si>
  <si>
    <t>Приложение  2</t>
  </si>
  <si>
    <t>Источники  финансирования  дефицита  бюджета муниципального образования город Торжок</t>
  </si>
  <si>
    <t xml:space="preserve">по кодам классификации источников финансирования дефицитов бюджетов  за 2017 год </t>
  </si>
  <si>
    <t>Коды БК РФ</t>
  </si>
  <si>
    <t>Код бюджетной классификации</t>
  </si>
  <si>
    <t>администратора источника финансирования</t>
  </si>
  <si>
    <t>источника финансирования</t>
  </si>
  <si>
    <t>Управление финансов администрации города Торжка</t>
  </si>
  <si>
    <t xml:space="preserve"> 01 03 01 00 04 0000 810</t>
  </si>
  <si>
    <t xml:space="preserve"> 01 05 02 01 04 0000 510</t>
  </si>
  <si>
    <t xml:space="preserve"> 01 05 02 01 04 0000 610</t>
  </si>
  <si>
    <t xml:space="preserve">Распределение бюджетных ассигнований  бюджета   
муниципального образования город Торжок  по разделам и подразделам классификации  
расходов бюджетов за 2017 год </t>
  </si>
  <si>
    <t xml:space="preserve">Ведомственная структура расходов бюджета муниципального образования  город Торжок  
за 2017 год </t>
  </si>
  <si>
    <t>к   решению Торжокской городской Думы</t>
  </si>
  <si>
    <t>Код классификации Российской Федерации</t>
  </si>
  <si>
    <t>Наименование дохода</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</si>
  <si>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</si>
  <si>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</si>
  <si>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</si>
  <si>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</si>
  <si>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</si>
  <si>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</si>
  <si>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</si>
  <si>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</si>
  <si>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</si>
  <si>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</si>
  <si>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</si>
  <si>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</si>
  <si>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</si>
  <si>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</si>
  <si>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</si>
  <si>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</si>
  <si>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</si>
  <si>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</si>
  <si>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</si>
  <si>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</si>
  <si>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</si>
  <si>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</si>
  <si>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</si>
  <si>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</si>
  <si>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000 1 05 00000 00 0000 000</t>
  </si>
  <si>
    <t>НАЛОГИ НА СОВОКУПНЫЙ ДОХОД</t>
  </si>
  <si>
    <t>000 1 05 02000 02 0000 110</t>
  </si>
  <si>
    <t>Единый налог на вмененный доход для отдельных видов деятельности</t>
  </si>
  <si>
    <t>000 1 05 02010 02 0000 110</t>
  </si>
  <si>
    <t>000 1 05 02020 02 0000 110</t>
  </si>
  <si>
    <t>Единый налог на вмененный доход для отдельных видов деятельности (за налоговые периоды, истекшие до 1 января 2011 года)</t>
  </si>
  <si>
    <t>000 1 05 03000 01 0000 110</t>
  </si>
  <si>
    <t>Единый сельскохозяйственный налог</t>
  </si>
  <si>
    <t>000 1 05 03010 01 0000 110</t>
  </si>
  <si>
    <t>000 1 05 04000 02 0000 110</t>
  </si>
  <si>
    <t>Налог, взимаемый в связи с применением патентной системы налогообложения</t>
  </si>
  <si>
    <t>000 1 05 04010 02 0000 110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</si>
  <si>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</si>
  <si>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</si>
  <si>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</si>
  <si>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000 1 06 01000 00 0000 110</t>
  </si>
  <si>
    <t>Налог на имущество физических лиц</t>
  </si>
  <si>
    <t>000 1 06 01020 04 0000 110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</si>
  <si>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</si>
  <si>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</si>
  <si>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Земельный налог</t>
  </si>
  <si>
    <t>000 1 06 06030 00 0000 110</t>
  </si>
  <si>
    <t>Земельный налог с организаций</t>
  </si>
  <si>
    <t>000 1 06 06032 04 0000 110</t>
  </si>
  <si>
    <t>Земельный налог с организаций, обладающих земельным участком, расположенным в границах городских округов</t>
  </si>
  <si>
    <t>000 1 06 06040 00 0000 110</t>
  </si>
  <si>
    <t>Земельный налог с физических лиц</t>
  </si>
  <si>
    <t>000 1 06 06042 04 0000 110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</si>
  <si>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</si>
  <si>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</si>
  <si>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</si>
  <si>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</si>
  <si>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</si>
  <si>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</si>
  <si>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</si>
  <si>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000 1 08 07000 01 0000 110</t>
  </si>
  <si>
    <t>Государственная пошлина за государственную регистрацию, а также за совершение прочих юридически значимых действий</t>
  </si>
  <si>
    <t>000 1 08 07150 01 0000 110</t>
  </si>
  <si>
    <t>Государственная пошлина за выдачу разрешения на установку рекламной конструкции</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</si>
  <si>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</si>
  <si>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</si>
  <si>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</si>
  <si>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</si>
  <si>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</si>
  <si>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</si>
  <si>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</si>
  <si>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</si>
  <si>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</si>
  <si>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</si>
  <si>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</si>
  <si>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</si>
  <si>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</si>
  <si>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</si>
  <si>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000 1 11 05074 04 0000 120</t>
  </si>
  <si>
    <t>Доходы от сдачи в аренду имущества, составляющего  казну городских округов (за исключением земельных участков)</t>
  </si>
  <si>
    <t>000 1 11 07000 00 0000 120</t>
  </si>
  <si>
    <t>Платежи от государственных и муниципальных унитарных предприятий</t>
  </si>
  <si>
    <t>000 1 11 07010 00 0000 120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</si>
  <si>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</si>
  <si>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</si>
  <si>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</si>
  <si>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</si>
  <si>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</si>
  <si>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</si>
  <si>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</si>
  <si>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</si>
  <si>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</si>
  <si>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</si>
  <si>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</si>
  <si>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</si>
  <si>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</si>
  <si>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</si>
  <si>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</si>
  <si>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000 1 12 01020 01 0000 120</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</si>
  <si>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</si>
  <si>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</si>
  <si>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</si>
  <si>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</si>
  <si>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</si>
  <si>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000 1 13 00000 00 0000 000</t>
  </si>
  <si>
    <t>ДОХОДЫ ОТ ОКАЗАНИЯ ПЛАТНЫХ УСЛУГ (РАБОТ) И КОМПЕНСАЦИИ ЗАТРАТ ГОСУДАРСТВА</t>
  </si>
  <si>
    <t>000 1 13 01000 00 0000 130</t>
  </si>
  <si>
    <t>Доходы от оказания платных услуг (работ)</t>
  </si>
  <si>
    <t>000 1 13 01990 00 0000 130</t>
  </si>
  <si>
    <t>Прочие доходы от оказания платных услуг (работ)</t>
  </si>
  <si>
    <t>000 1 13 01994 04 0000 130</t>
  </si>
  <si>
    <t>Прочие доходы от оказания платных услуг (работ) получателями средств бюджетов городских округов</t>
  </si>
  <si>
    <t>000 1 13 02000 00 0000 130</t>
  </si>
  <si>
    <t>Доходы от компенсации затрат государства</t>
  </si>
  <si>
    <t>000 1 13 02990 00 0000 130</t>
  </si>
  <si>
    <t>Прочие доходы от компенсации затрат государства</t>
  </si>
  <si>
    <t>000 1 13 02994 04 0000 130</t>
  </si>
  <si>
    <t>Прочие доходы от компенсации затрат бюджетов городских округов</t>
  </si>
  <si>
    <t>000 1 14 00000 00 0000 000</t>
  </si>
  <si>
    <t>ДОХОДЫ ОТ ПРОДАЖИ МАТЕРИАЛЬНЫХ И НЕМАТЕРИАЛЬНЫХ АКТИВОВ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</si>
  <si>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</si>
  <si>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</si>
  <si>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</si>
  <si>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</si>
  <si>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</si>
  <si>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</si>
  <si>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</si>
  <si>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</si>
  <si>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000 1 14 06000 00 0000 430</t>
  </si>
  <si>
    <t xml:space="preserve">Доходы от продажи земельных участков, находящихся в государственной и муниципальной собственности </t>
  </si>
  <si>
    <t>000 1 14 06010 00 0000 430</t>
  </si>
  <si>
    <t>Доходы от продажи земельных участков, государственная собственность на которые не разграничена</t>
  </si>
  <si>
    <t>000 1 14  06012 04 0000 430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</si>
  <si>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</si>
  <si>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</si>
  <si>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</si>
  <si>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000 1 16 03000 00 0000 140</t>
  </si>
  <si>
    <t>Денежные взыскания (штрафы) за нарушение законодательства о налогах и сборах</t>
  </si>
  <si>
    <t>000 1 16 03010 01 0000 140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</si>
  <si>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</si>
  <si>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000 1 16 03030 01 0000 140</t>
  </si>
  <si>
    <t>Денежные взыскания (штрафы) за административные правонарушения в области налогов и сборов, предусмотренные Кодеском Российской Федерации об административных правонарушениях</t>
  </si>
  <si>
    <t>000 1 16 06000 01 0000 140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</si>
  <si>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</si>
  <si>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</si>
  <si>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</si>
  <si>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000 1 16 08010 01 0000 14</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</si>
  <si>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</si>
  <si>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</si>
  <si>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</si>
  <si>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</si>
  <si>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</si>
  <si>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000 1 16 25050 01 0000 140</t>
  </si>
  <si>
    <t>Денежные взыскания (штрафы) за нарушение законодательства в области охраны окружающей среды</t>
  </si>
  <si>
    <t>000 1 16 25060 01 0000 140</t>
  </si>
  <si>
    <t>Денежные взыскания (штрафы) за нарушение земельного законодательства</t>
  </si>
  <si>
    <t>000 1 16 28000 01 0000 140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</si>
  <si>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</si>
  <si>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000 1 16 30000 01 0000 140</t>
  </si>
  <si>
    <t>Денежные взыскания (штрафы) за правонарушения в области дорожного движения</t>
  </si>
  <si>
    <t>000 1 16 30010 01 0000 140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</si>
  <si>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</si>
  <si>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</si>
  <si>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</si>
  <si>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000 1 16 30030 01 0000 140</t>
  </si>
  <si>
    <t>Прочие денежные взыскания (штрафы) за правонарушения в области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</si>
  <si>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</si>
  <si>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</si>
  <si>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</si>
  <si>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</si>
  <si>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</si>
  <si>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</si>
  <si>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000 11 6 37030 04 0000 140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</si>
  <si>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</si>
  <si>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</si>
  <si>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</si>
  <si>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000 116 51000 02 0000 140</t>
  </si>
  <si>
    <t>Денежные взыскания (штрафы), установленные законами субъектов Российской Федерации за несоблюдение муниципальных правовых актов</t>
  </si>
  <si>
    <t>000 116 51020 02 0000 140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</si>
  <si>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</si>
  <si>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000 1 16 90000 00 0000 140</t>
  </si>
  <si>
    <t>Прочие поступления от денежных взысканий (штрафов) и иных сумм в возмещение ущерба</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</si>
  <si>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</si>
  <si>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</si>
  <si>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000 1 17 00000 00 0000 000</t>
  </si>
  <si>
    <t>ПРОЧИЕ НЕНАЛОГОВЫЕ ДОХОДЫ</t>
  </si>
  <si>
    <t>000 1 17 05000 00 0000 180</t>
  </si>
  <si>
    <t>Прочие неналоговые доходы</t>
  </si>
  <si>
    <t>000 1 17 05040 04 0000 180</t>
  </si>
  <si>
    <t>Прочие неналоговые доходы бюджетов городских округов</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</si>
  <si>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</si>
  <si>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</si>
  <si>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</si>
  <si>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</si>
  <si>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000 2 02 10000 00 0000 151</t>
  </si>
  <si>
    <t>Дотации бюджетам бюджетной системы Российской Федерации</t>
  </si>
  <si>
    <t>000 2 02 15002 00 0000 151</t>
  </si>
  <si>
    <t>Дотации бюджетам на поддержку мер по обеспечению сбалансированности бюджетов</t>
  </si>
  <si>
    <t>000 2 02 15002 04 0000 151</t>
  </si>
  <si>
    <t>Дотации бюджетам городских округов на поддержку мер по обеспечению сбалансированности бюджетов</t>
  </si>
  <si>
    <t>000 2 02 20000 00 0000 151</t>
  </si>
  <si>
    <t>Субсидии бюджетам бюджетной системы Российской Федерации (межбюджетные субсидии)</t>
  </si>
  <si>
    <t>000 2 02 20051 00 0000 151</t>
  </si>
  <si>
    <t>Субсидии бюджетам на реализацию федеральных целевых программ</t>
  </si>
  <si>
    <t>000 2 02 20051 04 0000 151</t>
  </si>
  <si>
    <t>Субсидии бюджетам городских округов на реализацию федеральных целевых программ</t>
  </si>
  <si>
    <t>000 2 02 20216 00 0000 151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</si>
  <si>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</si>
  <si>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000 2 02 20216 04 0000 151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</si>
  <si>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</si>
  <si>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000 2 02 25027 00 0000 151</t>
  </si>
  <si>
    <t>Субсидии бюджетам на реализацию мероприятий государственной программы Российской Федерации "Доступная среда" на 2011 - 2020 годы</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</si>
  <si>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</si>
  <si>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</si>
  <si>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000 2 02 25519 00 0000 151</t>
  </si>
  <si>
    <t>Субсидия бюджетам на поддержку отрасли культуры</t>
  </si>
  <si>
    <t>000 2 02 25519 04 0000 151</t>
  </si>
  <si>
    <t>Субсидия бюджетам городских округов на поддержку отрасли культуры</t>
  </si>
  <si>
    <t>000 2 02 25558 00 0000 151</t>
  </si>
  <si>
    <t>Субсидии бюджетам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</si>
  <si>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000 2 02 25558 04 0000 151</t>
  </si>
  <si>
    <t>Субсидии бюджетам городских округов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</si>
  <si>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000 2 02 29999 00 0000 151</t>
  </si>
  <si>
    <t>Прочие субсидии</t>
  </si>
  <si>
    <t>000 2 02 29999 04 0000 151</t>
  </si>
  <si>
    <t>Субсидии на поддержку редакций районных и городских газет</t>
  </si>
  <si>
    <t>Субсидии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</si>
  <si>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000 2 02 30000 00 0000 151</t>
  </si>
  <si>
    <t>Субвенции бюджетам бюджетной системы Российской Федерации</t>
  </si>
  <si>
    <t>000 2 02 30029 00 0000 151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</si>
  <si>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</si>
  <si>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</si>
  <si>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</si>
  <si>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000 2 02 35082 00 0000 151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</si>
  <si>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</si>
  <si>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000 2 02 35082 04 0000 151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</si>
  <si>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</si>
  <si>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000 2 02 35930 00 0000 151</t>
  </si>
  <si>
    <t xml:space="preserve">Субвенции  бюджетам на  государственную регистрацию актов гражданского состояния </t>
  </si>
  <si>
    <t>000 2 02 35930 04 0000 151</t>
  </si>
  <si>
    <t xml:space="preserve">Субвенции  бюджетам городских округов на  государственную регистрацию актов гражданского состояния </t>
  </si>
  <si>
    <t>000 2 02 39999 00 0000 151</t>
  </si>
  <si>
    <t>Прочие субвенции</t>
  </si>
  <si>
    <t>000 2 02 39999 04 0000 151</t>
  </si>
  <si>
    <t>Субвенции бюджетам на обеспечение государственных гарантий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</si>
  <si>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Субвенции бюджетам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t>
  </si>
  <si>
    <t>Субвенции на осуществление  государственных полномочий по созданию, исполнению полномочий и обеспечению деятельности комиссий по делам несовершеннолетних</t>
  </si>
  <si>
    <t>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</si>
  <si>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защите населения от болезней, общих для человека и животных</t>
  </si>
  <si>
    <t>Субвенции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</si>
  <si>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000 2 02 40000 00 0000 151</t>
  </si>
  <si>
    <t>Иные межбюджетные трансферты</t>
  </si>
  <si>
    <t>000 2 02 49999 00 0000 151</t>
  </si>
  <si>
    <t>Прочие межбюджетные трансферты, передаваемые бюджетам</t>
  </si>
  <si>
    <t>000 2 02 49999 04 0000 151</t>
  </si>
  <si>
    <t>Прочие межбюджетные трансферты, передаваемые бюджетам на реализацию мероприятий по обращениям, поступающим к депутатам Законодательного Собрания Тверской области</t>
  </si>
  <si>
    <t>000 2 04 00000 00 0000 000</t>
  </si>
  <si>
    <t>БЕЗВОЗМЕЗДНЫЕ ПОСТУПЛЕНИЯ ОТ НЕГОСУДАРСТВЕННЫХ ОРГАНИЗАЦИЙ</t>
  </si>
  <si>
    <t>000 2 04 04000 04 0000 180</t>
  </si>
  <si>
    <t>Безвозмездные поступления от негосударственных организаций в бюджеты городских округов</t>
  </si>
  <si>
    <t>000 2 04 04010 04 0000 180</t>
  </si>
  <si>
    <t>Предоставление негосударственными организациями грантов для получателей средств бюджетов городских округов</t>
  </si>
  <si>
    <t>000 2 04 04099 04 0000 180</t>
  </si>
  <si>
    <t>Прочие безвозмездные поступления от негосударственных организаций в бюджеты городских округов при реализации программ по поддержке местных инициатив</t>
  </si>
  <si>
    <t>000 2 07 00000 00 0000 000</t>
  </si>
  <si>
    <t>ПРОЧИЕ БЕЗВОЗМЕЗДНЫЕ ПОСТУПЛЕНИЯ</t>
  </si>
  <si>
    <t>000 2 07 04000 04 0000 180</t>
  </si>
  <si>
    <t>Прочие безвозмездные поступления в бюджеты городских округов</t>
  </si>
  <si>
    <t>000 2 07 04050 04 0000 180</t>
  </si>
  <si>
    <t>Прочие безвозмездные поступления в бюджеты городских округов при реализации программ по поддержке местных инициатив</t>
  </si>
  <si>
    <t>ИТОГО ДОХОДОВ</t>
  </si>
  <si>
    <t xml:space="preserve">Поступление доходов бюджета муниципального образования город Торжок по группам, подгруппам, 
статьям, подстатьям и элементам доходов классификации доходов 
бюджетов  Российской Федерации за 2017 год </t>
  </si>
  <si>
    <t>000 2 18 00000 00 0000 000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</si>
  <si>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</si>
  <si>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000 2 18 00000 00 0000 180</t>
  </si>
  <si>
    <t>Доходы бюджетов бюджетной системы Российской Федерации от возврата организациями остатков субсидий прошлых лет</t>
  </si>
  <si>
    <t>000 2 18 04000 04 0000 180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</si>
  <si>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</si>
  <si>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иными организациями остатков субсидий прошлых лет</t>
  </si>
  <si>
    <t>000 2 18 04030 04 0000 180</t>
  </si>
  <si>
    <t>000 2 19 00000 00 0000 000</t>
  </si>
  <si>
    <t>ВОЗВРАТ ОСТАТКОВ СУБСИДИЙ, СУБВЕНЦИЙ И ИНЫХ МЕЖБЮДЖЕТНЫХ ТРАНСФЕРТОВ, ИМЕЮЩИХ ЦЕЛЕВОЕ НАЗНАЧЕНИЕ, ПРОШЛЫХ ЛЕТ</t>
  </si>
  <si>
    <t>000 2 19 60010 04 0000 151</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</si>
  <si>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</si>
  <si>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Код администратора доходов</t>
  </si>
  <si>
    <t>Наименование кода классификации доходов</t>
  </si>
  <si>
    <t>Код классификации доходов</t>
  </si>
  <si>
    <t>Исполнено,  тыс.руб.</t>
  </si>
  <si>
    <t>0 0 1</t>
  </si>
  <si>
    <t>001 113 02994 04 0000 130</t>
  </si>
  <si>
    <t>001 116 37030 04 0000 140</t>
  </si>
  <si>
    <t>001 116 51020 02 0000 140</t>
  </si>
  <si>
    <t>001 116 90040 04 0000 140</t>
  </si>
  <si>
    <t>001 202 02999 04 0000 151</t>
  </si>
  <si>
    <t>Субвенции на осуществление государственных полномочий по созданию,  исполнению полномочий и обеспечению деятельности комиссий по делам несовершеннолетних</t>
  </si>
  <si>
    <t>Субвенции муниципальным образованиям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</si>
  <si>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001 204 04010 04 0000 180</t>
  </si>
  <si>
    <t>001 207 04050 04 0000 180</t>
  </si>
  <si>
    <t>0 0 2</t>
  </si>
  <si>
    <t>002 113 02994 04 0000 130</t>
  </si>
  <si>
    <t>0 0 5</t>
  </si>
  <si>
    <t>005 111 05012 04 0000 120</t>
  </si>
  <si>
    <t>005 111 05024 04 0000 120</t>
  </si>
  <si>
    <t>005 111 05074 04 0000 120</t>
  </si>
  <si>
    <t>005 111 07014 04 0000 120</t>
  </si>
  <si>
    <t>005 111 09044 04 0000 120</t>
  </si>
  <si>
    <t>005 113 01994 04 0000 130</t>
  </si>
  <si>
    <t>005 114 02043 04 0000 410</t>
  </si>
  <si>
    <t>005 114 02042 04 0000 440</t>
  </si>
  <si>
    <t>005 114 06012 04 0000 430</t>
  </si>
  <si>
    <t>005 116 33040 04 0000 140</t>
  </si>
  <si>
    <t>005 116 90040 04 0000 140</t>
  </si>
  <si>
    <t>0 0 8</t>
  </si>
  <si>
    <t>008 113 02994 04 0000 151</t>
  </si>
  <si>
    <t xml:space="preserve">0 1 1 </t>
  </si>
  <si>
    <t>011 113 02994 04 0000 130</t>
  </si>
  <si>
    <t>011 202 02999 04 0000 151</t>
  </si>
  <si>
    <t>0 2 4</t>
  </si>
  <si>
    <t>Главное управление по государственной охране объектов культурного наследия Тверской области</t>
  </si>
  <si>
    <t>024 116 90040 04 0000 140</t>
  </si>
  <si>
    <t xml:space="preserve">0 4 8 </t>
  </si>
  <si>
    <t>Федеральная служба по надзору в сфере природопользования</t>
  </si>
  <si>
    <t>048 112 01010 01 0000 120</t>
  </si>
  <si>
    <t>Плата за выбросы загрязняющих веществ в атмосферный воздух передвижными  объектами</t>
  </si>
  <si>
    <t>048 112 01020 01 0000 120</t>
  </si>
  <si>
    <t>048 112 01030 01 0000 120</t>
  </si>
  <si>
    <t>048 112 01040 01 0000 120</t>
  </si>
  <si>
    <t>0 8 6</t>
  </si>
  <si>
    <t>Главное управление "Государственная инспекция по ветеринарии" Тверской области</t>
  </si>
  <si>
    <t>086 116 90040 04 0000 140</t>
  </si>
  <si>
    <t>1 0 0</t>
  </si>
  <si>
    <t>Федеральное казначейство</t>
  </si>
  <si>
    <t>100 103 02230 01 0000 110</t>
  </si>
  <si>
    <t>100 103 02240 01 0000 110</t>
  </si>
  <si>
    <t>100 103 02250 01 0000 110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</si>
  <si>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</si>
  <si>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100 103 02260 01 0000 110</t>
  </si>
  <si>
    <t>1 4 1</t>
  </si>
  <si>
    <t>Федеральная служба по надзору в сфере защиты прав потребителей и благополучия человека</t>
  </si>
  <si>
    <t>141 116 28000 01 0000 140</t>
  </si>
  <si>
    <t>1 6 1</t>
  </si>
  <si>
    <t>Федеральная антимонопольная служба</t>
  </si>
  <si>
    <t>1 8 2</t>
  </si>
  <si>
    <t>Федеральная налоговая служба</t>
  </si>
  <si>
    <t>182 101 02010 01 0000 110</t>
  </si>
  <si>
    <t>182 101 02020 01 0000 110</t>
  </si>
  <si>
    <t>182 101 02030 01 0000 110</t>
  </si>
  <si>
    <t>182 105 02010 02 0000 110</t>
  </si>
  <si>
    <t>182 105 02020 02 0000 110</t>
  </si>
  <si>
    <t>182 105 03010 01 0000 110</t>
  </si>
  <si>
    <t>182 105 04010 02 0000 110</t>
  </si>
  <si>
    <t>182 106 01020 04 0000 110</t>
  </si>
  <si>
    <t>182 106 06032 04 0000 110</t>
  </si>
  <si>
    <t>182 106 06042 04 0000 110</t>
  </si>
  <si>
    <t>182 108 03010 01 0000 110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</si>
  <si>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</si>
  <si>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182 116 03010 01 0000 140</t>
  </si>
  <si>
    <t>182 116 03030 01 0000 140</t>
  </si>
  <si>
    <t>182 116 06000 01 0000 140</t>
  </si>
  <si>
    <t>1 7 7</t>
  </si>
  <si>
    <t>Министерство Российской Федерации по делам гражданской обороны, чрезвычайным ситуациям и ликвидации последствий стихийных бедствий</t>
  </si>
  <si>
    <t>Денежные взыскания (штрафы) за нарушения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</si>
  <si>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188 116 43000 01 0000 140</t>
  </si>
  <si>
    <t xml:space="preserve">1 8 8 </t>
  </si>
  <si>
    <t>Министерство внутренних дел Российской Федерации</t>
  </si>
  <si>
    <t>188 116 08010 01 6000 140</t>
  </si>
  <si>
    <t>188 116 30030 01 6000 140</t>
  </si>
  <si>
    <t>188 116 90040 04 6000 140</t>
  </si>
  <si>
    <t xml:space="preserve">2 4 5 </t>
  </si>
  <si>
    <t>Главное управление "Государственная инспекция по надзору за техническим состоянием самоходных машин и других видов техники" Тверской области</t>
  </si>
  <si>
    <t>245 116 90040 04 0000 140</t>
  </si>
  <si>
    <t xml:space="preserve">3 2 1 </t>
  </si>
  <si>
    <t>Федеральная служба государственной регистрации, кадастра и картографии</t>
  </si>
  <si>
    <t>321 116 25060 01 0000 140</t>
  </si>
  <si>
    <t>002 202 15002 04 0000 151</t>
  </si>
  <si>
    <t>008 202 20051 04 0000 151</t>
  </si>
  <si>
    <t>008 202 29999 04 0000 151</t>
  </si>
  <si>
    <t>001 117 05040 04 0000 180</t>
  </si>
  <si>
    <t>001 202 20216 04 0000 151</t>
  </si>
  <si>
    <t>001 202 25558 00 0000 151</t>
  </si>
  <si>
    <t>001 202 29999 04 0000 151</t>
  </si>
  <si>
    <t>141 116 25050 01 0000 140</t>
  </si>
  <si>
    <t>Главное управление "Государственная жилищная инспекция" Тверской области</t>
  </si>
  <si>
    <t>017</t>
  </si>
  <si>
    <t>017 116 90040 04 0000 140</t>
  </si>
  <si>
    <t>011 202 25027 04 0000 151</t>
  </si>
  <si>
    <t>011 202 29999 04 0000 151</t>
  </si>
  <si>
    <t>001 202 49999 04 0000 151</t>
  </si>
  <si>
    <t>008 202 49999 04 0000 151</t>
  </si>
  <si>
    <t>001 204 04099 04 0000 180</t>
  </si>
  <si>
    <t>001 218 04030 04 0000 180</t>
  </si>
  <si>
    <t>005 219 60010 04 0000 151</t>
  </si>
  <si>
    <t>001 219 60010 04 0000 151</t>
  </si>
  <si>
    <t>011 219 60010 04 0000 151</t>
  </si>
  <si>
    <t>141 116 08010 01 0000 14</t>
  </si>
  <si>
    <t>141 116 90040 04 0000 140</t>
  </si>
  <si>
    <t>188 116 08020 01 0000 140</t>
  </si>
  <si>
    <t>188 116 30013 01 0000 140</t>
  </si>
  <si>
    <t>177 116 43000 01 0000 140</t>
  </si>
  <si>
    <t>Приложение 3</t>
  </si>
  <si>
    <t>Приложение 4</t>
  </si>
  <si>
    <t>161 116 33040 04 0000 140</t>
  </si>
  <si>
    <t>011 202 49999 04 0000 151</t>
  </si>
  <si>
    <t>011 202 39999 04 0000 151</t>
  </si>
  <si>
    <t>011 202 30029 04 0000 151</t>
  </si>
  <si>
    <t>001 202 35930 04 0000 151</t>
  </si>
  <si>
    <t>001 202 39999 04 0000 151</t>
  </si>
  <si>
    <t>Субсидии  на организацию обеспечения учащихся начальных классов муниципальных общеобразовательных организаций горячим питанием</t>
  </si>
  <si>
    <t>005 202 35082 04 0000 151</t>
  </si>
  <si>
    <t xml:space="preserve">Распределение бюджетных ассигнований по целевым статьям (муниципальным программам и непрограммным направлениям деятельности)  и главным распорядителям средств бюджета муниципального образования город Торжок  за 2017 год </t>
  </si>
  <si>
    <t xml:space="preserve">Распределение бюджетных ассигнований бюджета муниципального образования город Торжок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за 2017 год </t>
  </si>
  <si>
    <t xml:space="preserve">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за 2017 год </t>
  </si>
  <si>
    <t xml:space="preserve">Распределение межбюджетных субсидий,субвенций и иных межбюджетных трансфертов, имеющих целевое назначение,  по целевым статьям (муниципальным программам и непрограммным направлениям деятельности)  и главным распорядителям средств бюджета муниципального образования город Торжок  за 2017 год </t>
  </si>
  <si>
    <t xml:space="preserve">Общий объем бюджетных ассигнований, направляемых  на исполнение публичных нормативных обязательств муниципального образования город Торжок за 2017 год </t>
  </si>
  <si>
    <t>тыс. руб.</t>
  </si>
  <si>
    <t>Приложение 12</t>
  </si>
  <si>
    <t xml:space="preserve">РАЗДЕЛ 1. Привлечение и погашение заёмных средств по кредитным договорам </t>
  </si>
  <si>
    <t>1.1. Привлечение заёмных средств :</t>
  </si>
  <si>
    <t>№ 
п/п</t>
  </si>
  <si>
    <t>источники</t>
  </si>
  <si>
    <t xml:space="preserve">Бюджетные кредиты, полученные из областного бюджета </t>
  </si>
  <si>
    <t>ИТОГО:</t>
  </si>
  <si>
    <t>долговые обязательства</t>
  </si>
  <si>
    <t>Кредитные соглашения и договоры заключённые от имени муниципального образования</t>
  </si>
  <si>
    <t>Приложение 13</t>
  </si>
  <si>
    <t xml:space="preserve">ПРОГРАММА
  внутренних заимствований муниципального образования город Торжок за 2017 год  
</t>
  </si>
  <si>
    <t>Привлечение заемных средств в 2017 году.</t>
  </si>
  <si>
    <t>1.2. Погашение долговых обязательств в 2017 году.</t>
  </si>
  <si>
    <t>в том числе:</t>
  </si>
  <si>
    <t>с Министерством финансов Тверской области</t>
  </si>
  <si>
    <t>Перечень мероприятий</t>
  </si>
  <si>
    <t>Наименование мероприятия</t>
  </si>
  <si>
    <t>Распорядитель (получатель) бюджетных средств</t>
  </si>
  <si>
    <t>Р/П</t>
  </si>
  <si>
    <t>Приложение 14</t>
  </si>
  <si>
    <t xml:space="preserve"> по обращениям, поступающим к депутатам Торжокской городской Думы, за 2017 год</t>
  </si>
  <si>
    <t>Ремонт контейнерных площадок для сбора и вывоза твердых бытовых отходов</t>
  </si>
  <si>
    <t>Доходы бюджета муниципального образования город Торжок за 2017 год по кодам классификации доходов бюджетов</t>
  </si>
  <si>
    <t xml:space="preserve"> </t>
  </si>
  <si>
    <t>от 31.05.2018  № 145</t>
  </si>
  <si>
    <t>от 31.05.2018 № 145</t>
  </si>
  <si>
    <t>Приложение 5
к решению Торжокской городской Думы
от 31.05.2018  № 145</t>
  </si>
  <si>
    <t>Приложение 6
к решению Торжокской городской Думы
от 31.05.2018  № 145</t>
  </si>
  <si>
    <t>Приложение 7
к решению Торжокской городской Думы
от 31.05.2018  № 145</t>
  </si>
  <si>
    <t>Приложение 8
к решению Торжокской городской Думы
от 31.05.2018  № 145</t>
  </si>
  <si>
    <t>Муниципальная программа муниципального образования город Торжок "Развитие образования города Торжка" на 2014-2019 годы</t>
  </si>
  <si>
    <t>Муниципальная программа муниципального образования город Торжок "Муниципальное управление и гражданское общество" на 2014-2019 годы</t>
  </si>
  <si>
    <t>Приложение 9
к решению Торжокской городской Думы
от  31.05.2018  № 145</t>
  </si>
  <si>
    <t>Приложение 11
к решению Торжокской городской Думы
от 31.05.2018  № 145</t>
  </si>
  <si>
    <t>Думы от  31.05.2018 № 145</t>
  </si>
  <si>
    <t>к решению Торжокской  городской  Думы</t>
  </si>
  <si>
    <t>от  31.05.2018  № 145</t>
  </si>
  <si>
    <t xml:space="preserve">к решению Торжокской городской  Думы   </t>
  </si>
</sst>
</file>

<file path=xl/styles.xml><?xml version="1.0" encoding="utf-8"?>
<styleSheet xmlns="http://schemas.openxmlformats.org/spreadsheetml/2006/main">
  <numFmts count="5">
    <numFmt numFmtId="164" formatCode="_-* #,##0.00&quot;р.&quot;_-;\-* #,##0.00&quot;р.&quot;_-;_-* &quot;-&quot;??&quot;р.&quot;_-;_-@_-"/>
    <numFmt numFmtId="165" formatCode="_-* #,##0.00_р_._-;\-* #,##0.00_р_._-;_-* &quot;-&quot;??_р_._-;_-@_-"/>
    <numFmt numFmtId="166" formatCode="0.0"/>
    <numFmt numFmtId="167" formatCode="#,##0.0"/>
    <numFmt numFmtId="168" formatCode="_-* #,##0_р_._-;\-* #,##0_р_._-;_-* &quot;-&quot;_р_._-;_-@_-"/>
  </numFmts>
  <fonts count="22">
    <font>
      <sz val="10"/>
      <name val="Arial Cyr"/>
      <family val="2"/>
    </font>
    <font>
      <sz val="10"/>
      <name val="Arial"/>
      <family val="2"/>
    </font>
    <font>
      <sz val="11"/>
      <color theme="1"/>
      <name val="Calibri"/>
      <family val="2"/>
      <scheme val="minor"/>
    </font>
    <font>
      <sz val="8"/>
      <name val="Arial Cyr"/>
      <family val="2"/>
    </font>
    <font>
      <sz val="13"/>
      <name val="Times New Roman"/>
      <family val="1"/>
    </font>
    <font>
      <b/>
      <sz val="13"/>
      <name val="Times New Roman"/>
      <family val="1"/>
    </font>
    <font>
      <sz val="12"/>
      <name val="Times New Roman"/>
      <family val="1"/>
    </font>
    <font>
      <sz val="10"/>
      <color rgb="FF000000"/>
      <name val="Times New Roman"/>
      <family val="1"/>
    </font>
    <font>
      <sz val="12"/>
      <color rgb="FF000000"/>
      <name val="Times New Roman"/>
      <family val="1"/>
    </font>
    <font>
      <sz val="11"/>
      <name val="Times New Roman"/>
      <family val="1"/>
    </font>
    <font>
      <sz val="12"/>
      <color indexed="8"/>
      <name val="Times New Roman"/>
      <family val="1"/>
    </font>
    <font>
      <b/>
      <sz val="12"/>
      <name val="Times New Roman"/>
      <family val="1"/>
    </font>
    <font>
      <b/>
      <sz val="12"/>
      <color rgb="FF000000"/>
      <name val="Times New Roman"/>
      <family val="1"/>
    </font>
    <font>
      <b/>
      <sz val="12"/>
      <color indexed="8"/>
      <name val="Times New Roman"/>
      <family val="1"/>
    </font>
    <font>
      <sz val="12"/>
      <color theme="1"/>
      <name val="Times New Roman"/>
      <family val="1"/>
    </font>
    <font>
      <sz val="14"/>
      <name val="Times New Roman"/>
      <family val="1"/>
    </font>
    <font>
      <b/>
      <sz val="12"/>
      <color rgb="FFFF0000"/>
      <name val="Times New Roman"/>
      <family val="1"/>
    </font>
    <font>
      <sz val="12"/>
      <color rgb="FFFF0000"/>
      <name val="Times New Roman"/>
      <family val="1"/>
    </font>
    <font>
      <sz val="12"/>
      <name val="Arial Cyr"/>
      <family val="2"/>
    </font>
    <font>
      <sz val="12"/>
      <color rgb="FFC00000"/>
      <name val="Times New Roman"/>
      <family val="1"/>
    </font>
    <font>
      <b/>
      <sz val="12"/>
      <name val="Times New Roman Cyr"/>
      <family val="2"/>
    </font>
    <font>
      <sz val="12"/>
      <name val="Times New Roman Cyr"/>
      <family val="1"/>
    </font>
  </fonts>
  <fills count="2">
    <fill>
      <patternFill/>
    </fill>
    <fill>
      <patternFill patternType="gray125"/>
    </fill>
  </fills>
  <borders count="18">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style="thin"/>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style="thin">
        <color rgb="FF000000"/>
      </right>
      <top style="thin">
        <color rgb="FF000000"/>
      </top>
      <bottom style="thin">
        <color rgb="FF000000"/>
      </bottom>
    </border>
    <border>
      <left/>
      <right style="thin"/>
      <top style="thin"/>
      <bottom style="thin"/>
    </border>
    <border>
      <left style="thin">
        <color rgb="FF000000"/>
      </left>
      <right/>
      <top/>
      <bottom style="thin">
        <color rgb="FF000000"/>
      </bottom>
    </border>
    <border>
      <left style="thin">
        <color rgb="FF000000"/>
      </left>
      <right style="thin">
        <color rgb="FF000000"/>
      </right>
      <top/>
      <bottom style="thin">
        <color rgb="FF000000"/>
      </bottom>
    </border>
    <border>
      <left style="thin"/>
      <right/>
      <top style="thin">
        <color rgb="FF000000"/>
      </top>
      <bottom/>
    </border>
    <border>
      <left style="thin">
        <color rgb="FF000000"/>
      </left>
      <right/>
      <top style="thin">
        <color rgb="FF000000"/>
      </top>
      <bottom style="thin">
        <color rgb="FF000000"/>
      </bottom>
    </border>
    <border>
      <left style="thin"/>
      <right/>
      <top style="thin"/>
      <bottom/>
    </border>
    <border>
      <left style="thin"/>
      <right/>
      <top style="thin"/>
      <bottom style="thin"/>
    </border>
    <border>
      <left/>
      <right/>
      <top style="thin"/>
      <bottom style="thin"/>
    </border>
    <border>
      <left/>
      <right/>
      <top/>
      <bottom style="thin"/>
    </border>
    <border>
      <left/>
      <right/>
      <top/>
      <bottom style="thin">
        <color rgb="FF000000"/>
      </bottom>
    </border>
  </borders>
  <cellStyleXfs count="65">
    <xf numFmtId="0"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2" fillId="0" borderId="0">
      <alignment/>
      <protection/>
    </xf>
    <xf numFmtId="165"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164" fontId="7" fillId="0" borderId="0">
      <alignment vertical="top" wrapText="1"/>
      <protection/>
    </xf>
    <xf numFmtId="164" fontId="7"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horizontal="justify" vertical="top" wrapText="1"/>
      <protection/>
    </xf>
    <xf numFmtId="164" fontId="0" fillId="0" borderId="0" applyFont="0" applyFill="0" applyBorder="0" applyAlignment="0" applyProtection="0"/>
  </cellStyleXfs>
  <cellXfs count="320">
    <xf numFmtId="0" fontId="0" fillId="0" borderId="0" xfId="0" applyAlignment="1">
      <alignment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wrapText="1"/>
    </xf>
    <xf numFmtId="0" fontId="6" fillId="0" borderId="1" xfId="0" applyFont="1" applyFill="1" applyBorder="1" applyAlignment="1">
      <alignment horizontal="center" vertical="center" wrapText="1"/>
    </xf>
    <xf numFmtId="0" fontId="9" fillId="0" borderId="0" xfId="0" applyFont="1" applyFill="1" applyAlignment="1">
      <alignment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4" fillId="0" borderId="2" xfId="0" applyFont="1" applyFill="1" applyBorder="1" applyAlignment="1">
      <alignment horizontal="center" vertical="center"/>
    </xf>
    <xf numFmtId="166" fontId="5" fillId="0" borderId="1" xfId="0" applyNumberFormat="1" applyFont="1" applyFill="1" applyBorder="1" applyAlignment="1">
      <alignment horizontal="center" vertical="center"/>
    </xf>
    <xf numFmtId="166" fontId="4" fillId="0" borderId="2"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0" xfId="0" applyFont="1" applyAlignment="1">
      <alignment horizontal="right"/>
    </xf>
    <xf numFmtId="0" fontId="6" fillId="0" borderId="0" xfId="31" applyNumberFormat="1" applyFont="1" applyFill="1" applyAlignment="1">
      <alignment horizontal="right" vertical="top" wrapText="1"/>
      <protection/>
    </xf>
    <xf numFmtId="0" fontId="6" fillId="0" borderId="0" xfId="0" applyFont="1" applyAlignment="1">
      <alignment wrapText="1"/>
    </xf>
    <xf numFmtId="0" fontId="6" fillId="0" borderId="0" xfId="0" applyFont="1" applyAlignment="1">
      <alignment horizont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wrapText="1"/>
    </xf>
    <xf numFmtId="49" fontId="11" fillId="0" borderId="1" xfId="0" applyNumberFormat="1" applyFont="1" applyBorder="1" applyAlignment="1">
      <alignment horizontal="center" vertical="center"/>
    </xf>
    <xf numFmtId="0" fontId="11" fillId="0" borderId="1" xfId="0" applyFont="1" applyBorder="1" applyAlignment="1">
      <alignment horizontal="left" vertical="center" wrapText="1"/>
    </xf>
    <xf numFmtId="166" fontId="11"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166" fontId="6" fillId="0" borderId="1" xfId="0" applyNumberFormat="1" applyFont="1" applyBorder="1" applyAlignment="1">
      <alignment horizontal="center" vertical="center"/>
    </xf>
    <xf numFmtId="166" fontId="6" fillId="0" borderId="3" xfId="0" applyNumberFormat="1" applyFont="1" applyBorder="1" applyAlignment="1">
      <alignment horizontal="center" vertical="center" wrapText="1"/>
    </xf>
    <xf numFmtId="49" fontId="6" fillId="0" borderId="0" xfId="0" applyNumberFormat="1" applyFont="1" applyFill="1" applyBorder="1" applyAlignment="1">
      <alignment horizontal="center"/>
    </xf>
    <xf numFmtId="49" fontId="6" fillId="0" borderId="0" xfId="0" applyNumberFormat="1" applyFont="1" applyFill="1" applyBorder="1" applyAlignment="1">
      <alignment horizontal="right"/>
    </xf>
    <xf numFmtId="49" fontId="6"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0" fontId="6" fillId="0" borderId="4" xfId="0" applyFont="1" applyBorder="1" applyAlignment="1">
      <alignment vertical="center" wrapText="1"/>
    </xf>
    <xf numFmtId="164" fontId="8" fillId="0" borderId="0" xfId="31" applyNumberFormat="1" applyFont="1" applyFill="1" applyAlignment="1">
      <alignment vertical="top" wrapText="1"/>
      <protection/>
    </xf>
    <xf numFmtId="0" fontId="8" fillId="0" borderId="5" xfId="31" applyNumberFormat="1" applyFont="1" applyFill="1" applyBorder="1" applyAlignment="1">
      <alignment vertical="center" wrapText="1"/>
      <protection/>
    </xf>
    <xf numFmtId="0" fontId="8" fillId="0" borderId="6" xfId="31" applyNumberFormat="1" applyFont="1" applyFill="1" applyBorder="1" applyAlignment="1">
      <alignment vertical="center" wrapText="1"/>
      <protection/>
    </xf>
    <xf numFmtId="0" fontId="8" fillId="0" borderId="7" xfId="31" applyNumberFormat="1" applyFont="1" applyFill="1" applyBorder="1" applyAlignment="1">
      <alignment horizontal="center" vertical="center" wrapText="1"/>
      <protection/>
    </xf>
    <xf numFmtId="0" fontId="12" fillId="0" borderId="7" xfId="31" applyNumberFormat="1" applyFont="1" applyFill="1" applyBorder="1" applyAlignment="1">
      <alignment horizontal="center" vertical="center" wrapText="1"/>
      <protection/>
    </xf>
    <xf numFmtId="0" fontId="11" fillId="0" borderId="1" xfId="0" applyFont="1" applyFill="1" applyBorder="1" applyAlignment="1">
      <alignment horizontal="left" vertical="center"/>
    </xf>
    <xf numFmtId="167" fontId="12" fillId="0" borderId="7" xfId="31" applyNumberFormat="1" applyFont="1" applyFill="1" applyBorder="1" applyAlignment="1">
      <alignment horizontal="center" vertical="center" wrapText="1"/>
      <protection/>
    </xf>
    <xf numFmtId="0" fontId="11" fillId="0" borderId="1" xfId="0" applyFont="1" applyFill="1" applyBorder="1" applyAlignment="1">
      <alignment horizontal="left" vertical="center" wrapText="1"/>
    </xf>
    <xf numFmtId="0" fontId="8" fillId="0" borderId="7" xfId="31" applyNumberFormat="1" applyFont="1" applyFill="1" applyBorder="1" applyAlignment="1">
      <alignment horizontal="left" vertical="center" wrapText="1"/>
      <protection/>
    </xf>
    <xf numFmtId="167" fontId="8" fillId="0" borderId="7" xfId="31" applyNumberFormat="1" applyFont="1" applyFill="1" applyBorder="1" applyAlignment="1">
      <alignment horizontal="center" vertical="center" wrapText="1"/>
      <protection/>
    </xf>
    <xf numFmtId="49" fontId="8" fillId="0" borderId="7" xfId="31" applyNumberFormat="1" applyFont="1" applyFill="1" applyBorder="1" applyAlignment="1">
      <alignment horizontal="center" vertical="center" wrapText="1"/>
      <protection/>
    </xf>
    <xf numFmtId="0" fontId="6" fillId="0" borderId="1" xfId="0" applyFont="1" applyFill="1" applyBorder="1" applyAlignment="1">
      <alignment horizontal="left" vertical="center" wrapText="1"/>
    </xf>
    <xf numFmtId="0" fontId="12" fillId="0" borderId="7" xfId="31" applyNumberFormat="1" applyFont="1" applyFill="1" applyBorder="1" applyAlignment="1">
      <alignment horizontal="left" vertical="center" wrapText="1"/>
      <protection/>
    </xf>
    <xf numFmtId="164" fontId="8" fillId="0" borderId="0" xfId="31" applyNumberFormat="1" applyFont="1" applyFill="1" applyAlignment="1">
      <alignment vertical="center" wrapText="1"/>
      <protection/>
    </xf>
    <xf numFmtId="0" fontId="6" fillId="0" borderId="0" xfId="31" applyNumberFormat="1" applyFont="1" applyFill="1" applyAlignment="1">
      <alignment vertical="top" wrapText="1"/>
      <protection/>
    </xf>
    <xf numFmtId="164" fontId="6" fillId="0" borderId="0" xfId="31" applyNumberFormat="1" applyFont="1" applyFill="1" applyAlignment="1">
      <alignment vertical="top" wrapText="1"/>
      <protection/>
    </xf>
    <xf numFmtId="0" fontId="6" fillId="0" borderId="7" xfId="31" applyNumberFormat="1" applyFont="1" applyFill="1" applyBorder="1" applyAlignment="1">
      <alignment horizontal="center" vertical="center" wrapText="1"/>
      <protection/>
    </xf>
    <xf numFmtId="0" fontId="6" fillId="0" borderId="7" xfId="31" applyNumberFormat="1" applyFont="1" applyFill="1" applyBorder="1" applyAlignment="1">
      <alignment horizontal="left" vertical="center" wrapText="1"/>
      <protection/>
    </xf>
    <xf numFmtId="0" fontId="11" fillId="0" borderId="7" xfId="31" applyNumberFormat="1" applyFont="1" applyFill="1" applyBorder="1" applyAlignment="1">
      <alignment horizontal="center" vertical="center" wrapText="1"/>
      <protection/>
    </xf>
    <xf numFmtId="0" fontId="11" fillId="0" borderId="7" xfId="31" applyNumberFormat="1" applyFont="1" applyFill="1" applyBorder="1" applyAlignment="1">
      <alignment horizontal="left" vertical="center" wrapText="1"/>
      <protection/>
    </xf>
    <xf numFmtId="167" fontId="11" fillId="0" borderId="7" xfId="31" applyNumberFormat="1" applyFont="1" applyFill="1" applyBorder="1" applyAlignment="1">
      <alignment horizontal="center" vertical="center" wrapText="1"/>
      <protection/>
    </xf>
    <xf numFmtId="0" fontId="6" fillId="0" borderId="7" xfId="31" applyNumberFormat="1" applyFont="1" applyFill="1" applyBorder="1" applyAlignment="1">
      <alignment vertical="center" wrapText="1"/>
      <protection/>
    </xf>
    <xf numFmtId="0" fontId="6" fillId="0" borderId="1" xfId="0" applyFont="1" applyFill="1" applyBorder="1" applyAlignment="1" applyProtection="1">
      <alignment horizontal="left" vertical="center" wrapText="1"/>
      <protection locked="0"/>
    </xf>
    <xf numFmtId="167" fontId="6" fillId="0" borderId="7" xfId="31" applyNumberFormat="1" applyFont="1" applyFill="1" applyBorder="1" applyAlignment="1">
      <alignment horizontal="center" vertical="center" wrapText="1"/>
      <protection/>
    </xf>
    <xf numFmtId="49" fontId="6" fillId="0" borderId="1" xfId="0" applyNumberFormat="1" applyFont="1" applyFill="1" applyBorder="1" applyAlignment="1" applyProtection="1">
      <alignment horizontal="center" vertical="center"/>
      <protection locked="0"/>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1" fillId="0" borderId="1" xfId="0" applyFont="1" applyFill="1" applyBorder="1" applyAlignment="1">
      <alignment vertical="top" wrapText="1"/>
    </xf>
    <xf numFmtId="49" fontId="6" fillId="0" borderId="1" xfId="0" applyNumberFormat="1" applyFont="1" applyFill="1" applyBorder="1" applyAlignment="1" applyProtection="1">
      <alignment horizontal="left" vertical="center" wrapText="1"/>
      <protection locked="0"/>
    </xf>
    <xf numFmtId="166" fontId="6" fillId="0" borderId="1" xfId="0" applyNumberFormat="1" applyFont="1" applyFill="1" applyBorder="1" applyAlignment="1">
      <alignment horizontal="center" vertical="center" wrapText="1"/>
    </xf>
    <xf numFmtId="49" fontId="6" fillId="0" borderId="7" xfId="31" applyNumberFormat="1" applyFont="1" applyFill="1" applyBorder="1" applyAlignment="1">
      <alignment horizontal="center" vertical="center" wrapText="1"/>
      <protection/>
    </xf>
    <xf numFmtId="0" fontId="6" fillId="0" borderId="1" xfId="0" applyFont="1" applyFill="1" applyBorder="1" applyAlignment="1">
      <alignment vertical="center" wrapText="1"/>
    </xf>
    <xf numFmtId="0" fontId="6" fillId="0" borderId="1" xfId="31" applyNumberFormat="1" applyFont="1" applyFill="1" applyBorder="1" applyAlignment="1">
      <alignment horizontal="center" vertical="center" wrapText="1"/>
      <protection/>
    </xf>
    <xf numFmtId="0" fontId="6" fillId="0" borderId="1" xfId="31" applyNumberFormat="1" applyFont="1" applyFill="1" applyBorder="1" applyAlignment="1">
      <alignment horizontal="left" vertical="center" wrapText="1"/>
      <protection/>
    </xf>
    <xf numFmtId="0" fontId="6" fillId="0" borderId="5" xfId="31" applyNumberFormat="1" applyFont="1" applyFill="1" applyBorder="1" applyAlignment="1">
      <alignment horizontal="center" vertical="center" wrapText="1"/>
      <protection/>
    </xf>
    <xf numFmtId="0" fontId="6" fillId="0" borderId="5" xfId="31" applyNumberFormat="1" applyFont="1" applyFill="1" applyBorder="1" applyAlignment="1">
      <alignment horizontal="left" vertical="center" wrapText="1"/>
      <protection/>
    </xf>
    <xf numFmtId="167" fontId="6" fillId="0" borderId="1" xfId="31" applyNumberFormat="1" applyFont="1" applyFill="1" applyBorder="1" applyAlignment="1">
      <alignment horizontal="center" vertical="center" wrapText="1"/>
      <protection/>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9" xfId="31" applyNumberFormat="1" applyFont="1" applyFill="1" applyBorder="1" applyAlignment="1">
      <alignment horizontal="center" vertical="center" wrapText="1"/>
      <protection/>
    </xf>
    <xf numFmtId="0" fontId="13" fillId="0" borderId="1" xfId="0" applyFont="1" applyFill="1" applyBorder="1" applyAlignment="1">
      <alignment vertical="top" wrapText="1"/>
    </xf>
    <xf numFmtId="164" fontId="6" fillId="0" borderId="0" xfId="31" applyNumberFormat="1" applyFont="1" applyFill="1" applyAlignment="1">
      <alignment horizontal="center" vertical="top" wrapText="1"/>
      <protection/>
    </xf>
    <xf numFmtId="164" fontId="6" fillId="0" borderId="0" xfId="31" applyNumberFormat="1" applyFont="1" applyFill="1" applyAlignment="1">
      <alignment horizontal="left" vertical="center" wrapText="1"/>
      <protection/>
    </xf>
    <xf numFmtId="0" fontId="6" fillId="0" borderId="1" xfId="31" applyNumberFormat="1" applyFont="1" applyFill="1" applyBorder="1" applyAlignment="1">
      <alignment vertical="center" wrapText="1"/>
      <protection/>
    </xf>
    <xf numFmtId="0" fontId="6" fillId="0" borderId="0" xfId="57" applyFont="1" applyFill="1" applyBorder="1" applyAlignment="1">
      <alignment horizontal="left" vertical="center" wrapText="1"/>
      <protection/>
    </xf>
    <xf numFmtId="49" fontId="6" fillId="0" borderId="0" xfId="57" applyNumberFormat="1" applyFont="1" applyFill="1" applyBorder="1" applyAlignment="1">
      <alignment horizontal="left" vertical="center"/>
      <protection/>
    </xf>
    <xf numFmtId="0" fontId="14" fillId="0" borderId="0" xfId="57" applyFont="1">
      <alignment/>
      <protection/>
    </xf>
    <xf numFmtId="0" fontId="6" fillId="0" borderId="0" xfId="57" applyFont="1" applyFill="1" applyBorder="1" applyAlignment="1">
      <alignment horizontal="center" vertical="center"/>
      <protection/>
    </xf>
    <xf numFmtId="49" fontId="11" fillId="0" borderId="1" xfId="57" applyNumberFormat="1" applyFont="1" applyFill="1" applyBorder="1" applyAlignment="1">
      <alignment horizontal="center" vertical="center"/>
      <protection/>
    </xf>
    <xf numFmtId="0" fontId="11" fillId="0" borderId="1" xfId="57" applyFont="1" applyFill="1" applyBorder="1" applyAlignment="1">
      <alignment horizontal="justify" vertical="center" wrapText="1"/>
      <protection/>
    </xf>
    <xf numFmtId="49" fontId="6" fillId="0" borderId="1" xfId="57" applyNumberFormat="1" applyFont="1" applyFill="1" applyBorder="1" applyAlignment="1">
      <alignment horizontal="center" vertical="center"/>
      <protection/>
    </xf>
    <xf numFmtId="0" fontId="6" fillId="0" borderId="1" xfId="57" applyFont="1" applyFill="1" applyBorder="1" applyAlignment="1">
      <alignment horizontal="justify" vertical="center" wrapText="1"/>
      <protection/>
    </xf>
    <xf numFmtId="167" fontId="11" fillId="0" borderId="1" xfId="57" applyNumberFormat="1" applyFont="1" applyFill="1" applyBorder="1" applyAlignment="1">
      <alignment horizontal="center" vertical="center"/>
      <protection/>
    </xf>
    <xf numFmtId="49" fontId="11" fillId="0" borderId="1" xfId="57" applyNumberFormat="1" applyFont="1" applyBorder="1" applyAlignment="1">
      <alignment horizontal="center" vertical="center"/>
      <protection/>
    </xf>
    <xf numFmtId="49" fontId="6" fillId="0" borderId="1" xfId="57" applyNumberFormat="1" applyFont="1" applyBorder="1" applyAlignment="1">
      <alignment horizontal="center" vertical="center"/>
      <protection/>
    </xf>
    <xf numFmtId="167" fontId="6" fillId="0" borderId="1" xfId="57" applyNumberFormat="1" applyFont="1" applyFill="1" applyBorder="1" applyAlignment="1">
      <alignment horizontal="center" vertical="center"/>
      <protection/>
    </xf>
    <xf numFmtId="167" fontId="11" fillId="0" borderId="1" xfId="57" applyNumberFormat="1" applyFont="1" applyFill="1" applyBorder="1" applyAlignment="1">
      <alignment horizontal="center" vertical="center" wrapText="1"/>
      <protection/>
    </xf>
    <xf numFmtId="167" fontId="6" fillId="0" borderId="1" xfId="57" applyNumberFormat="1" applyFont="1" applyFill="1" applyBorder="1" applyAlignment="1">
      <alignment horizontal="center" vertical="center" wrapText="1"/>
      <protection/>
    </xf>
    <xf numFmtId="0" fontId="6" fillId="0" borderId="1" xfId="57" applyFont="1" applyBorder="1" applyAlignment="1">
      <alignment horizontal="center" vertical="center"/>
      <protection/>
    </xf>
    <xf numFmtId="0" fontId="11" fillId="0" borderId="1" xfId="57" applyFont="1" applyBorder="1" applyAlignment="1">
      <alignment horizontal="center" vertical="center"/>
      <protection/>
    </xf>
    <xf numFmtId="3" fontId="6" fillId="0" borderId="1" xfId="57" applyNumberFormat="1" applyFont="1" applyBorder="1" applyAlignment="1">
      <alignment horizontal="center" vertical="center" wrapText="1"/>
      <protection/>
    </xf>
    <xf numFmtId="0" fontId="11" fillId="0" borderId="1" xfId="57" applyNumberFormat="1" applyFont="1" applyFill="1" applyBorder="1" applyAlignment="1" applyProtection="1">
      <alignment horizontal="center" vertical="center"/>
      <protection/>
    </xf>
    <xf numFmtId="0" fontId="11" fillId="0" borderId="1" xfId="57" applyNumberFormat="1" applyFont="1" applyFill="1" applyBorder="1" applyAlignment="1" applyProtection="1">
      <alignment horizontal="justify" vertical="center" wrapText="1"/>
      <protection/>
    </xf>
    <xf numFmtId="0" fontId="11" fillId="0" borderId="1" xfId="57" applyFont="1" applyBorder="1" applyAlignment="1">
      <alignment horizontal="center" vertical="center" wrapText="1"/>
      <protection/>
    </xf>
    <xf numFmtId="0" fontId="11" fillId="0" borderId="1" xfId="57" applyFont="1" applyBorder="1" applyAlignment="1">
      <alignment horizontal="justify" vertical="center" wrapText="1"/>
      <protection/>
    </xf>
    <xf numFmtId="0" fontId="6" fillId="0" borderId="1" xfId="57" applyFont="1" applyBorder="1" applyAlignment="1">
      <alignment horizontal="justify" vertical="center" wrapText="1"/>
      <protection/>
    </xf>
    <xf numFmtId="0" fontId="6" fillId="0" borderId="1" xfId="57" applyNumberFormat="1" applyFont="1" applyFill="1" applyBorder="1" applyAlignment="1" applyProtection="1">
      <alignment horizontal="justify" vertical="center" wrapText="1"/>
      <protection/>
    </xf>
    <xf numFmtId="0" fontId="6" fillId="0" borderId="1" xfId="57" applyNumberFormat="1" applyFont="1" applyFill="1" applyBorder="1" applyAlignment="1" applyProtection="1">
      <alignment horizontal="center" vertical="center"/>
      <protection/>
    </xf>
    <xf numFmtId="0" fontId="11" fillId="0" borderId="1" xfId="56" applyFont="1" applyBorder="1" applyAlignment="1">
      <alignment horizontal="center" vertical="center"/>
      <protection/>
    </xf>
    <xf numFmtId="0" fontId="11" fillId="0" borderId="1" xfId="56" applyFont="1" applyBorder="1" applyAlignment="1">
      <alignment horizontal="justify" vertical="center" wrapText="1"/>
      <protection/>
    </xf>
    <xf numFmtId="0" fontId="6" fillId="0" borderId="1" xfId="56" applyFont="1" applyBorder="1" applyAlignment="1">
      <alignment horizontal="center" vertical="center"/>
      <protection/>
    </xf>
    <xf numFmtId="0" fontId="6" fillId="0" borderId="1" xfId="56" applyFont="1" applyBorder="1" applyAlignment="1">
      <alignment horizontal="justify" vertical="center" wrapText="1"/>
      <protection/>
    </xf>
    <xf numFmtId="49" fontId="11" fillId="0" borderId="1" xfId="57" applyNumberFormat="1" applyFont="1" applyFill="1" applyBorder="1" applyAlignment="1">
      <alignment horizontal="left" vertical="center"/>
      <protection/>
    </xf>
    <xf numFmtId="0" fontId="11" fillId="0" borderId="1" xfId="57" applyFont="1" applyFill="1" applyBorder="1" applyAlignment="1">
      <alignment horizontal="left" vertical="center" wrapText="1"/>
      <protection/>
    </xf>
    <xf numFmtId="0" fontId="6" fillId="0" borderId="0" xfId="57" applyFont="1">
      <alignment/>
      <protection/>
    </xf>
    <xf numFmtId="0" fontId="6" fillId="0" borderId="0" xfId="57" applyFont="1" applyAlignment="1">
      <alignment vertical="center"/>
      <protection/>
    </xf>
    <xf numFmtId="0" fontId="5" fillId="0" borderId="1" xfId="31" applyNumberFormat="1" applyFont="1" applyFill="1" applyBorder="1" applyAlignment="1" applyProtection="1">
      <alignment horizontal="center" vertical="center"/>
      <protection/>
    </xf>
    <xf numFmtId="0" fontId="5" fillId="0" borderId="1" xfId="31" applyNumberFormat="1" applyFont="1" applyFill="1" applyBorder="1" applyAlignment="1" applyProtection="1">
      <alignment horizontal="justify" vertical="center" wrapText="1"/>
      <protection/>
    </xf>
    <xf numFmtId="167" fontId="5" fillId="0" borderId="1" xfId="31" applyNumberFormat="1" applyFont="1" applyFill="1" applyBorder="1" applyAlignment="1">
      <alignment horizontal="center" vertical="center"/>
      <protection/>
    </xf>
    <xf numFmtId="0" fontId="5" fillId="0" borderId="1" xfId="31" applyNumberFormat="1" applyFont="1" applyFill="1" applyBorder="1" applyAlignment="1" applyProtection="1">
      <alignment horizontal="left" vertical="center" wrapText="1"/>
      <protection/>
    </xf>
    <xf numFmtId="0" fontId="4" fillId="0" borderId="1" xfId="31" applyNumberFormat="1" applyFont="1" applyFill="1" applyBorder="1" applyAlignment="1" applyProtection="1">
      <alignment horizontal="center" vertical="center"/>
      <protection/>
    </xf>
    <xf numFmtId="0" fontId="4" fillId="0" borderId="1" xfId="31" applyNumberFormat="1" applyFont="1" applyFill="1" applyBorder="1" applyAlignment="1" applyProtection="1">
      <alignment horizontal="left" vertical="center" wrapText="1"/>
      <protection/>
    </xf>
    <xf numFmtId="167" fontId="4" fillId="0" borderId="1" xfId="31" applyNumberFormat="1" applyFont="1" applyFill="1" applyBorder="1" applyAlignment="1">
      <alignment horizontal="center" vertical="center"/>
      <protection/>
    </xf>
    <xf numFmtId="49" fontId="4" fillId="0" borderId="1" xfId="31" applyNumberFormat="1" applyFont="1" applyBorder="1" applyAlignment="1">
      <alignment horizontal="center" vertical="center"/>
      <protection/>
    </xf>
    <xf numFmtId="0" fontId="14" fillId="0" borderId="0" xfId="57" applyFont="1" applyFill="1">
      <alignment/>
      <protection/>
    </xf>
    <xf numFmtId="167" fontId="14" fillId="0" borderId="1" xfId="57" applyNumberFormat="1" applyFont="1" applyFill="1" applyBorder="1" applyAlignment="1">
      <alignment horizontal="center" vertical="center"/>
      <protection/>
    </xf>
    <xf numFmtId="167" fontId="11" fillId="0" borderId="1" xfId="57" applyNumberFormat="1" applyFont="1" applyFill="1" applyBorder="1" applyAlignment="1">
      <alignment horizontal="center"/>
      <protection/>
    </xf>
    <xf numFmtId="167" fontId="14" fillId="0" borderId="1" xfId="57" applyNumberFormat="1" applyFont="1" applyFill="1" applyBorder="1" applyAlignment="1">
      <alignment horizontal="center"/>
      <protection/>
    </xf>
    <xf numFmtId="167" fontId="11" fillId="0" borderId="1" xfId="56" applyNumberFormat="1" applyFont="1" applyFill="1" applyBorder="1" applyAlignment="1">
      <alignment horizontal="center" vertical="center"/>
      <protection/>
    </xf>
    <xf numFmtId="167" fontId="6" fillId="0" borderId="1" xfId="56" applyNumberFormat="1" applyFont="1" applyFill="1" applyBorder="1" applyAlignment="1">
      <alignment horizontal="center" vertical="center"/>
      <protection/>
    </xf>
    <xf numFmtId="0" fontId="8" fillId="0" borderId="10" xfId="31" applyNumberFormat="1" applyFont="1" applyFill="1" applyBorder="1" applyAlignment="1">
      <alignment horizontal="center" vertical="center" wrapText="1"/>
      <protection/>
    </xf>
    <xf numFmtId="0" fontId="6" fillId="0" borderId="11" xfId="0" applyFont="1" applyFill="1" applyBorder="1" applyAlignment="1">
      <alignment vertical="center" wrapText="1"/>
    </xf>
    <xf numFmtId="0" fontId="12" fillId="0" borderId="0" xfId="31" applyNumberFormat="1" applyFont="1" applyFill="1" applyBorder="1" applyAlignment="1">
      <alignment horizontal="center" vertical="center" wrapText="1"/>
      <protection/>
    </xf>
    <xf numFmtId="0" fontId="4" fillId="0" borderId="1" xfId="0" applyFont="1" applyFill="1" applyBorder="1" applyAlignment="1">
      <alignment horizontal="center" vertical="center" wrapText="1"/>
    </xf>
    <xf numFmtId="0" fontId="8" fillId="0" borderId="0" xfId="31" applyNumberFormat="1" applyFont="1" applyFill="1" applyAlignment="1">
      <alignment horizontal="right" vertical="top" wrapText="1"/>
      <protection/>
    </xf>
    <xf numFmtId="0" fontId="6" fillId="0" borderId="1" xfId="0" applyFont="1" applyFill="1" applyBorder="1" applyAlignment="1">
      <alignment horizontal="center" vertical="center" wrapText="1"/>
    </xf>
    <xf numFmtId="0" fontId="4" fillId="0" borderId="0" xfId="0" applyFont="1" applyAlignment="1">
      <alignment horizontal="center" wrapText="1"/>
    </xf>
    <xf numFmtId="0" fontId="6" fillId="0" borderId="0" xfId="58" applyFont="1" applyFill="1" applyAlignment="1">
      <alignment horizontal="center" vertical="center" wrapText="1"/>
      <protection/>
    </xf>
    <xf numFmtId="0" fontId="6" fillId="0" borderId="0" xfId="58" applyFont="1" applyFill="1" applyAlignment="1">
      <alignment/>
      <protection/>
    </xf>
    <xf numFmtId="0" fontId="11" fillId="0" borderId="0" xfId="58" applyFont="1" applyFill="1" applyAlignment="1">
      <alignment/>
      <protection/>
    </xf>
    <xf numFmtId="0" fontId="16" fillId="0" borderId="1" xfId="58" applyFont="1" applyFill="1" applyBorder="1" applyAlignment="1">
      <alignment horizontal="center" vertical="center" wrapText="1"/>
      <protection/>
    </xf>
    <xf numFmtId="0" fontId="17" fillId="0" borderId="1" xfId="58" applyFont="1" applyFill="1" applyBorder="1" applyAlignment="1">
      <alignment horizontal="center" vertical="center" wrapText="1"/>
      <protection/>
    </xf>
    <xf numFmtId="0" fontId="18" fillId="0" borderId="0" xfId="59" applyFont="1" applyFill="1">
      <alignment/>
      <protection/>
    </xf>
    <xf numFmtId="0" fontId="6" fillId="0" borderId="1" xfId="58" applyNumberFormat="1" applyFont="1" applyFill="1" applyBorder="1" applyAlignment="1" applyProtection="1">
      <alignment horizontal="justify" vertical="center" wrapText="1"/>
      <protection/>
    </xf>
    <xf numFmtId="0" fontId="6" fillId="0" borderId="1" xfId="58" applyFont="1" applyFill="1" applyBorder="1" applyAlignment="1">
      <alignment horizontal="justify" vertical="center" wrapText="1"/>
      <protection/>
    </xf>
    <xf numFmtId="4" fontId="11" fillId="0" borderId="0" xfId="58" applyNumberFormat="1" applyFont="1" applyFill="1" applyAlignment="1">
      <alignment/>
      <protection/>
    </xf>
    <xf numFmtId="49" fontId="17" fillId="0" borderId="1" xfId="58" applyNumberFormat="1" applyFont="1" applyFill="1" applyBorder="1" applyAlignment="1">
      <alignment horizontal="center" vertical="center" shrinkToFit="1"/>
      <protection/>
    </xf>
    <xf numFmtId="2" fontId="6" fillId="0" borderId="1" xfId="58" applyNumberFormat="1" applyFont="1" applyFill="1" applyBorder="1" applyAlignment="1">
      <alignment horizontal="center" vertical="center" shrinkToFit="1"/>
      <protection/>
    </xf>
    <xf numFmtId="167" fontId="6" fillId="0" borderId="1" xfId="58" applyNumberFormat="1" applyFont="1" applyFill="1" applyBorder="1" applyAlignment="1">
      <alignment horizontal="center" vertical="center" shrinkToFit="1"/>
      <protection/>
    </xf>
    <xf numFmtId="4" fontId="6" fillId="0" borderId="0" xfId="58" applyNumberFormat="1" applyFont="1" applyFill="1" applyAlignment="1">
      <alignment/>
      <protection/>
    </xf>
    <xf numFmtId="49" fontId="11" fillId="0" borderId="1" xfId="58" applyNumberFormat="1" applyFont="1" applyFill="1" applyBorder="1" applyAlignment="1">
      <alignment horizontal="center" vertical="center" shrinkToFit="1"/>
      <protection/>
    </xf>
    <xf numFmtId="49" fontId="6" fillId="0" borderId="1" xfId="58" applyNumberFormat="1" applyFont="1" applyFill="1" applyBorder="1" applyAlignment="1">
      <alignment horizontal="center" vertical="center" shrinkToFit="1"/>
      <protection/>
    </xf>
    <xf numFmtId="49" fontId="16" fillId="0" borderId="1" xfId="58" applyNumberFormat="1" applyFont="1" applyFill="1" applyBorder="1" applyAlignment="1">
      <alignment horizontal="center" vertical="center" shrinkToFit="1"/>
      <protection/>
    </xf>
    <xf numFmtId="0" fontId="6" fillId="0" borderId="0" xfId="58" applyFont="1" applyFill="1" applyAlignment="1">
      <alignment horizontal="center" vertical="center"/>
      <protection/>
    </xf>
    <xf numFmtId="167" fontId="6" fillId="0" borderId="0" xfId="58" applyNumberFormat="1" applyFont="1" applyFill="1" applyAlignment="1">
      <alignment/>
      <protection/>
    </xf>
    <xf numFmtId="0" fontId="19" fillId="0" borderId="0" xfId="58" applyFont="1" applyFill="1" applyAlignment="1">
      <alignment/>
      <protection/>
    </xf>
    <xf numFmtId="167" fontId="19" fillId="0" borderId="0" xfId="58" applyNumberFormat="1" applyFont="1" applyFill="1" applyAlignment="1">
      <alignment/>
      <protection/>
    </xf>
    <xf numFmtId="0" fontId="6" fillId="0" borderId="12" xfId="31" applyNumberFormat="1" applyFont="1" applyFill="1" applyBorder="1" applyAlignment="1">
      <alignment horizontal="center" vertical="center" wrapText="1"/>
      <protection/>
    </xf>
    <xf numFmtId="167" fontId="11" fillId="0" borderId="12" xfId="31" applyNumberFormat="1" applyFont="1" applyFill="1" applyBorder="1" applyAlignment="1">
      <alignment horizontal="center" vertical="center" wrapText="1"/>
      <protection/>
    </xf>
    <xf numFmtId="167" fontId="11" fillId="0" borderId="1" xfId="31" applyNumberFormat="1" applyFont="1" applyFill="1" applyBorder="1" applyAlignment="1">
      <alignment horizontal="center" vertical="center" wrapText="1"/>
      <protection/>
    </xf>
    <xf numFmtId="167" fontId="6" fillId="0" borderId="10" xfId="31" applyNumberFormat="1" applyFont="1" applyFill="1" applyBorder="1" applyAlignment="1">
      <alignment horizontal="center" vertical="center" wrapText="1"/>
      <protection/>
    </xf>
    <xf numFmtId="0" fontId="6" fillId="0" borderId="7" xfId="31" applyNumberFormat="1" applyFont="1" applyFill="1" applyBorder="1" applyAlignment="1">
      <alignment horizontal="left" wrapText="1"/>
      <protection/>
    </xf>
    <xf numFmtId="49" fontId="6" fillId="0" borderId="13" xfId="0" applyNumberFormat="1" applyFont="1" applyFill="1" applyBorder="1" applyAlignment="1" applyProtection="1">
      <alignment horizontal="center" vertical="center"/>
      <protection locked="0"/>
    </xf>
    <xf numFmtId="49" fontId="6" fillId="0" borderId="14" xfId="0" applyNumberFormat="1" applyFont="1" applyFill="1" applyBorder="1" applyAlignment="1" applyProtection="1">
      <alignment horizontal="center" vertical="center"/>
      <protection locked="0"/>
    </xf>
    <xf numFmtId="164" fontId="6" fillId="0" borderId="0" xfId="31" applyNumberFormat="1" applyFont="1" applyFill="1" applyAlignment="1">
      <alignment horizontal="center" vertical="center" wrapText="1"/>
      <protection/>
    </xf>
    <xf numFmtId="164" fontId="6" fillId="0" borderId="0" xfId="31" applyNumberFormat="1" applyFont="1" applyFill="1" applyAlignment="1">
      <alignment vertical="center" wrapText="1"/>
      <protection/>
    </xf>
    <xf numFmtId="164" fontId="6" fillId="0" borderId="0" xfId="32" applyNumberFormat="1" applyFont="1" applyFill="1" applyAlignment="1">
      <alignment vertical="center" wrapText="1"/>
      <protection/>
    </xf>
    <xf numFmtId="0" fontId="6" fillId="0" borderId="7" xfId="32" applyNumberFormat="1" applyFont="1" applyFill="1" applyBorder="1" applyAlignment="1">
      <alignment horizontal="center" vertical="center" wrapText="1"/>
      <protection/>
    </xf>
    <xf numFmtId="0" fontId="6" fillId="0" borderId="12" xfId="32" applyNumberFormat="1" applyFont="1" applyFill="1" applyBorder="1" applyAlignment="1">
      <alignment horizontal="center" vertical="center" wrapText="1"/>
      <protection/>
    </xf>
    <xf numFmtId="0" fontId="6" fillId="0" borderId="1" xfId="32" applyNumberFormat="1" applyFont="1" applyFill="1" applyBorder="1" applyAlignment="1">
      <alignment horizontal="center" vertical="center" wrapText="1"/>
      <protection/>
    </xf>
    <xf numFmtId="0" fontId="11" fillId="0" borderId="10" xfId="32" applyNumberFormat="1" applyFont="1" applyFill="1" applyBorder="1" applyAlignment="1">
      <alignment horizontal="left" vertical="center" wrapText="1"/>
      <protection/>
    </xf>
    <xf numFmtId="167" fontId="11" fillId="0" borderId="10" xfId="32" applyNumberFormat="1" applyFont="1" applyFill="1" applyBorder="1" applyAlignment="1">
      <alignment horizontal="center" vertical="center" wrapText="1"/>
      <protection/>
    </xf>
    <xf numFmtId="0" fontId="11" fillId="0" borderId="7" xfId="32" applyNumberFormat="1" applyFont="1" applyFill="1" applyBorder="1" applyAlignment="1">
      <alignment horizontal="center" vertical="center" wrapText="1"/>
      <protection/>
    </xf>
    <xf numFmtId="0" fontId="11" fillId="0" borderId="7" xfId="32" applyNumberFormat="1" applyFont="1" applyFill="1" applyBorder="1" applyAlignment="1">
      <alignment vertical="center" wrapText="1"/>
      <protection/>
    </xf>
    <xf numFmtId="167" fontId="11" fillId="0" borderId="7" xfId="32" applyNumberFormat="1" applyFont="1" applyFill="1" applyBorder="1" applyAlignment="1">
      <alignment horizontal="center" vertical="center" wrapText="1"/>
      <protection/>
    </xf>
    <xf numFmtId="0" fontId="6" fillId="0" borderId="7" xfId="32" applyNumberFormat="1" applyFont="1" applyFill="1" applyBorder="1" applyAlignment="1">
      <alignment vertical="center" wrapText="1"/>
      <protection/>
    </xf>
    <xf numFmtId="0" fontId="6" fillId="0" borderId="7" xfId="32" applyNumberFormat="1" applyFont="1" applyFill="1" applyBorder="1" applyAlignment="1">
      <alignment horizontal="left" vertical="center" wrapText="1"/>
      <protection/>
    </xf>
    <xf numFmtId="167" fontId="6" fillId="0" borderId="7" xfId="32" applyNumberFormat="1" applyFont="1" applyFill="1" applyBorder="1" applyAlignment="1">
      <alignment horizontal="center" vertical="center" wrapText="1"/>
      <protection/>
    </xf>
    <xf numFmtId="0" fontId="11" fillId="0" borderId="1" xfId="32" applyNumberFormat="1" applyFont="1" applyFill="1" applyBorder="1" applyAlignment="1">
      <alignment horizontal="center" vertical="center" wrapText="1"/>
      <protection/>
    </xf>
    <xf numFmtId="0" fontId="11" fillId="0" borderId="1" xfId="32" applyNumberFormat="1" applyFont="1" applyFill="1" applyBorder="1" applyAlignment="1">
      <alignment horizontal="left" vertical="center" wrapText="1"/>
      <protection/>
    </xf>
    <xf numFmtId="167" fontId="11" fillId="0" borderId="1" xfId="32" applyNumberFormat="1" applyFont="1" applyFill="1" applyBorder="1" applyAlignment="1">
      <alignment horizontal="center" vertical="center" wrapText="1"/>
      <protection/>
    </xf>
    <xf numFmtId="0" fontId="11" fillId="0" borderId="10" xfId="32" applyNumberFormat="1" applyFont="1" applyFill="1" applyBorder="1" applyAlignment="1">
      <alignment horizontal="center" vertical="center" wrapText="1"/>
      <protection/>
    </xf>
    <xf numFmtId="0" fontId="6" fillId="0" borderId="5" xfId="32" applyNumberFormat="1" applyFont="1" applyFill="1" applyBorder="1" applyAlignment="1">
      <alignment horizontal="center" vertical="center" wrapText="1"/>
      <protection/>
    </xf>
    <xf numFmtId="167" fontId="6" fillId="0" borderId="5" xfId="32" applyNumberFormat="1" applyFont="1" applyFill="1" applyBorder="1" applyAlignment="1">
      <alignment horizontal="center" vertical="center" wrapText="1"/>
      <protection/>
    </xf>
    <xf numFmtId="167" fontId="6" fillId="0" borderId="1" xfId="32" applyNumberFormat="1" applyFont="1" applyFill="1" applyBorder="1" applyAlignment="1">
      <alignment horizontal="center" vertical="center" wrapText="1"/>
      <protection/>
    </xf>
    <xf numFmtId="49" fontId="6" fillId="0" borderId="3" xfId="0" applyNumberFormat="1" applyFont="1" applyFill="1" applyBorder="1" applyAlignment="1">
      <alignment horizontal="center" vertical="center"/>
    </xf>
    <xf numFmtId="0" fontId="6" fillId="0" borderId="3" xfId="0" applyFont="1" applyFill="1" applyBorder="1" applyAlignment="1" applyProtection="1">
      <alignment horizontal="left" vertical="center" wrapText="1"/>
      <protection locked="0"/>
    </xf>
    <xf numFmtId="167" fontId="6" fillId="0" borderId="10" xfId="32" applyNumberFormat="1" applyFont="1" applyFill="1" applyBorder="1" applyAlignment="1">
      <alignment horizontal="center" vertical="center" wrapText="1"/>
      <protection/>
    </xf>
    <xf numFmtId="0" fontId="6" fillId="0" borderId="0" xfId="32" applyNumberFormat="1" applyFont="1" applyFill="1" applyBorder="1" applyAlignment="1">
      <alignment horizontal="center" vertical="center" wrapText="1"/>
      <protection/>
    </xf>
    <xf numFmtId="0" fontId="11" fillId="0" borderId="7" xfId="32" applyNumberFormat="1" applyFont="1" applyFill="1" applyBorder="1" applyAlignment="1">
      <alignment horizontal="left" vertical="center" wrapText="1"/>
      <protection/>
    </xf>
    <xf numFmtId="49" fontId="11" fillId="0" borderId="1"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wrapText="1"/>
      <protection locked="0"/>
    </xf>
    <xf numFmtId="0" fontId="6" fillId="0" borderId="0" xfId="0" applyFont="1" applyFill="1" applyAlignment="1">
      <alignment horizontal="center" vertical="center"/>
    </xf>
    <xf numFmtId="0" fontId="6" fillId="0" borderId="0" xfId="0" applyFont="1" applyFill="1" applyAlignment="1">
      <alignment wrapText="1"/>
    </xf>
    <xf numFmtId="1"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11" fillId="0" borderId="1" xfId="0" applyFont="1" applyFill="1" applyBorder="1" applyAlignment="1" applyProtection="1">
      <alignment horizontal="left"/>
      <protection locked="0"/>
    </xf>
    <xf numFmtId="166" fontId="11" fillId="0" borderId="1" xfId="0" applyNumberFormat="1" applyFont="1" applyFill="1" applyBorder="1" applyAlignment="1">
      <alignment horizontal="center" vertical="center" wrapText="1"/>
    </xf>
    <xf numFmtId="0" fontId="17" fillId="0" borderId="0" xfId="0" applyFont="1" applyFill="1" applyAlignment="1">
      <alignment wrapText="1"/>
    </xf>
    <xf numFmtId="0" fontId="11" fillId="0" borderId="1" xfId="0" applyFont="1" applyFill="1" applyBorder="1" applyAlignment="1">
      <alignment vertical="center" wrapText="1"/>
    </xf>
    <xf numFmtId="166" fontId="20" fillId="0" borderId="1" xfId="41" applyNumberFormat="1" applyFont="1" applyFill="1" applyBorder="1" applyAlignment="1">
      <alignment horizontal="center" vertical="center" wrapText="1"/>
      <protection/>
    </xf>
    <xf numFmtId="166" fontId="6" fillId="0" borderId="0" xfId="0" applyNumberFormat="1" applyFont="1" applyFill="1" applyAlignment="1">
      <alignment wrapText="1"/>
    </xf>
    <xf numFmtId="166" fontId="21" fillId="0" borderId="1" xfId="41" applyNumberFormat="1" applyFont="1" applyFill="1" applyBorder="1" applyAlignment="1">
      <alignment horizontal="center" vertical="center" wrapText="1"/>
      <protection/>
    </xf>
    <xf numFmtId="0" fontId="11" fillId="0" borderId="1" xfId="0" applyFont="1" applyFill="1" applyBorder="1" applyAlignment="1">
      <alignment horizontal="center" vertical="center"/>
    </xf>
    <xf numFmtId="0" fontId="11" fillId="0" borderId="0" xfId="0" applyFont="1" applyFill="1" applyAlignment="1">
      <alignment wrapText="1"/>
    </xf>
    <xf numFmtId="0" fontId="8" fillId="0" borderId="5" xfId="31" applyNumberFormat="1" applyFont="1" applyFill="1" applyBorder="1" applyAlignment="1">
      <alignment horizontal="center" vertical="center" wrapText="1"/>
      <protection/>
    </xf>
    <xf numFmtId="0" fontId="6" fillId="0" borderId="2" xfId="0" applyFont="1" applyFill="1" applyBorder="1" applyAlignment="1">
      <alignment horizontal="center" vertical="center"/>
    </xf>
    <xf numFmtId="0" fontId="8" fillId="0" borderId="1" xfId="31" applyNumberFormat="1" applyFont="1" applyFill="1" applyBorder="1" applyAlignment="1">
      <alignment horizontal="center" vertical="center" wrapText="1"/>
      <protection/>
    </xf>
    <xf numFmtId="166" fontId="6" fillId="0" borderId="1" xfId="0" applyNumberFormat="1" applyFont="1" applyFill="1" applyBorder="1" applyAlignment="1">
      <alignment horizontal="center" vertical="center"/>
    </xf>
    <xf numFmtId="166" fontId="11"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0" fontId="6" fillId="0" borderId="0" xfId="0" applyFont="1" applyAlignment="1">
      <alignment horizontal="center" wrapText="1"/>
    </xf>
    <xf numFmtId="14" fontId="8" fillId="0" borderId="7" xfId="31" applyNumberFormat="1" applyFont="1" applyFill="1" applyBorder="1" applyAlignment="1">
      <alignment horizontal="center" vertical="center" wrapText="1"/>
      <protection/>
    </xf>
    <xf numFmtId="0" fontId="8" fillId="0" borderId="7" xfId="31" applyNumberFormat="1" applyFont="1" applyFill="1" applyBorder="1" applyAlignment="1">
      <alignment vertical="center" wrapText="1"/>
      <protection/>
    </xf>
    <xf numFmtId="0" fontId="6" fillId="0" borderId="0" xfId="53" applyFont="1">
      <alignment/>
      <protection/>
    </xf>
    <xf numFmtId="0" fontId="6" fillId="0" borderId="0" xfId="53" applyFont="1" applyAlignment="1">
      <alignment horizontal="center"/>
      <protection/>
    </xf>
    <xf numFmtId="0" fontId="11" fillId="0" borderId="0" xfId="53" applyFont="1" applyAlignment="1">
      <alignment horizontal="center"/>
      <protection/>
    </xf>
    <xf numFmtId="0" fontId="6" fillId="0" borderId="1" xfId="53" applyFont="1" applyBorder="1" applyAlignment="1">
      <alignment horizontal="center" vertical="center" wrapText="1"/>
      <protection/>
    </xf>
    <xf numFmtId="0" fontId="11" fillId="0" borderId="1" xfId="53" applyFont="1" applyBorder="1" applyAlignment="1">
      <alignment horizontal="center" vertical="center" wrapText="1"/>
      <protection/>
    </xf>
    <xf numFmtId="0" fontId="6" fillId="0" borderId="1" xfId="53" applyFont="1" applyBorder="1" applyAlignment="1">
      <alignment horizontal="left" vertical="center" wrapText="1"/>
      <protection/>
    </xf>
    <xf numFmtId="166" fontId="11" fillId="0" borderId="1" xfId="53" applyNumberFormat="1" applyFont="1" applyBorder="1" applyAlignment="1">
      <alignment horizontal="center" vertical="center" wrapText="1"/>
      <protection/>
    </xf>
    <xf numFmtId="49" fontId="6" fillId="0" borderId="1" xfId="53" applyNumberFormat="1" applyFont="1" applyBorder="1" applyAlignment="1">
      <alignment horizontal="center" vertical="center" wrapText="1"/>
      <protection/>
    </xf>
    <xf numFmtId="166" fontId="6" fillId="0" borderId="1" xfId="53" applyNumberFormat="1" applyFont="1" applyBorder="1" applyAlignment="1">
      <alignment horizontal="center" vertical="center" wrapText="1"/>
      <protection/>
    </xf>
    <xf numFmtId="0" fontId="6" fillId="0" borderId="1" xfId="53" applyFont="1" applyFill="1" applyBorder="1" applyAlignment="1">
      <alignment horizontal="left" vertical="center" wrapText="1"/>
      <protection/>
    </xf>
    <xf numFmtId="0" fontId="6" fillId="0" borderId="1" xfId="53" applyFont="1" applyFill="1" applyBorder="1" applyAlignment="1">
      <alignment vertical="center" wrapText="1"/>
      <protection/>
    </xf>
    <xf numFmtId="166" fontId="6" fillId="0" borderId="1" xfId="53" applyNumberFormat="1" applyFont="1" applyFill="1" applyBorder="1" applyAlignment="1">
      <alignment horizontal="center" vertical="center" wrapText="1"/>
      <protection/>
    </xf>
    <xf numFmtId="166" fontId="11" fillId="0" borderId="1" xfId="53" applyNumberFormat="1" applyFont="1" applyFill="1" applyBorder="1" applyAlignment="1">
      <alignment horizontal="center" vertical="center" wrapText="1"/>
      <protection/>
    </xf>
    <xf numFmtId="49" fontId="6" fillId="0" borderId="1" xfId="53" applyNumberFormat="1" applyFont="1" applyFill="1" applyBorder="1" applyAlignment="1">
      <alignment horizontal="center" vertical="center" wrapText="1"/>
      <protection/>
    </xf>
    <xf numFmtId="0" fontId="6" fillId="0" borderId="1" xfId="54" applyFont="1" applyBorder="1" applyAlignment="1">
      <alignment horizontal="left" vertical="center" wrapText="1"/>
      <protection/>
    </xf>
    <xf numFmtId="0" fontId="6" fillId="0" borderId="1" xfId="54" applyFont="1" applyBorder="1" applyAlignment="1">
      <alignment horizontal="center" vertical="center" wrapText="1"/>
      <protection/>
    </xf>
    <xf numFmtId="0" fontId="6"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166" fontId="6" fillId="0" borderId="0" xfId="53" applyNumberFormat="1" applyFont="1" applyFill="1" applyBorder="1" applyAlignment="1">
      <alignment horizontal="center" vertical="center" wrapText="1"/>
      <protection/>
    </xf>
    <xf numFmtId="166" fontId="11" fillId="0" borderId="0" xfId="53" applyNumberFormat="1" applyFont="1" applyBorder="1" applyAlignment="1">
      <alignment horizontal="center" vertical="center" wrapText="1"/>
      <protection/>
    </xf>
    <xf numFmtId="49" fontId="6" fillId="0" borderId="0" xfId="53" applyNumberFormat="1" applyFont="1" applyBorder="1" applyAlignment="1">
      <alignment horizontal="center" vertical="center" wrapText="1"/>
      <protection/>
    </xf>
    <xf numFmtId="0" fontId="4" fillId="0" borderId="0" xfId="63" applyFont="1" applyAlignment="1">
      <alignment horizontal="justify" vertical="top" wrapText="1"/>
      <protection/>
    </xf>
    <xf numFmtId="0" fontId="4" fillId="0" borderId="0" xfId="63" applyFont="1" applyAlignment="1">
      <alignment horizontal="right" vertical="top" wrapText="1"/>
      <protection/>
    </xf>
    <xf numFmtId="0" fontId="4" fillId="0" borderId="0" xfId="63" applyFont="1" applyAlignment="1">
      <alignment vertical="top" wrapText="1"/>
      <protection/>
    </xf>
    <xf numFmtId="0" fontId="4" fillId="0" borderId="0" xfId="63" applyFont="1" applyAlignment="1">
      <alignment vertical="top"/>
      <protection/>
    </xf>
    <xf numFmtId="0" fontId="4" fillId="0" borderId="1" xfId="63" applyFont="1" applyBorder="1" applyAlignment="1">
      <alignment horizontal="center" vertical="center" wrapText="1"/>
      <protection/>
    </xf>
    <xf numFmtId="0" fontId="4" fillId="0" borderId="0" xfId="63" applyFont="1" applyAlignment="1">
      <alignment horizontal="center" vertical="center" wrapText="1"/>
      <protection/>
    </xf>
    <xf numFmtId="0" fontId="4" fillId="0" borderId="1" xfId="63" applyFont="1" applyBorder="1" applyAlignment="1">
      <alignment horizontal="left" vertical="center" wrapText="1" indent="1"/>
      <protection/>
    </xf>
    <xf numFmtId="166" fontId="4" fillId="0" borderId="1" xfId="63" applyNumberFormat="1" applyFont="1" applyBorder="1" applyAlignment="1">
      <alignment horizontal="center" vertical="center" wrapText="1"/>
      <protection/>
    </xf>
    <xf numFmtId="0" fontId="4" fillId="0" borderId="1" xfId="63" applyFont="1" applyBorder="1" applyAlignment="1">
      <alignment horizontal="left" vertical="top" wrapText="1"/>
      <protection/>
    </xf>
    <xf numFmtId="0" fontId="5" fillId="0" borderId="1" xfId="63" applyFont="1" applyBorder="1" applyAlignment="1">
      <alignment horizontal="left" vertical="top" wrapText="1" indent="1"/>
      <protection/>
    </xf>
    <xf numFmtId="166" fontId="5" fillId="0" borderId="1" xfId="63" applyNumberFormat="1" applyFont="1" applyBorder="1" applyAlignment="1">
      <alignment horizontal="center" vertical="top" wrapText="1"/>
      <protection/>
    </xf>
    <xf numFmtId="0" fontId="4" fillId="0" borderId="1" xfId="63" applyFont="1" applyFill="1" applyBorder="1" applyAlignment="1">
      <alignment horizontal="left" vertical="center" wrapText="1" indent="1"/>
      <protection/>
    </xf>
    <xf numFmtId="0" fontId="4" fillId="0" borderId="2" xfId="0" applyFont="1" applyFill="1" applyBorder="1" applyAlignment="1">
      <alignment vertical="center" wrapText="1"/>
    </xf>
    <xf numFmtId="49" fontId="4" fillId="0" borderId="2" xfId="0" applyNumberFormat="1" applyFont="1" applyFill="1" applyBorder="1" applyAlignment="1">
      <alignment horizontal="center" vertical="center" wrapText="1"/>
    </xf>
    <xf numFmtId="0" fontId="11" fillId="0" borderId="1" xfId="58" applyFont="1" applyFill="1" applyBorder="1" applyAlignment="1">
      <alignment horizontal="center" vertical="center" wrapText="1"/>
      <protection/>
    </xf>
    <xf numFmtId="0" fontId="6" fillId="0" borderId="1" xfId="0" applyFont="1" applyFill="1" applyBorder="1" applyAlignment="1">
      <alignment horizontal="center" vertical="center" wrapText="1"/>
    </xf>
    <xf numFmtId="0" fontId="6" fillId="0" borderId="7" xfId="32" applyNumberFormat="1" applyFont="1" applyFill="1" applyBorder="1" applyAlignment="1">
      <alignment horizontal="center" vertical="center" wrapText="1"/>
      <protection/>
    </xf>
    <xf numFmtId="0" fontId="6" fillId="0" borderId="1" xfId="32" applyNumberFormat="1" applyFont="1" applyFill="1" applyBorder="1" applyAlignment="1">
      <alignment horizontal="center" vertical="center" wrapText="1"/>
      <protection/>
    </xf>
    <xf numFmtId="0" fontId="6" fillId="0" borderId="7" xfId="32" applyNumberFormat="1" applyFont="1" applyFill="1" applyBorder="1" applyAlignment="1">
      <alignment horizontal="center" vertical="center" wrapText="1"/>
      <protection/>
    </xf>
    <xf numFmtId="167" fontId="11" fillId="0" borderId="1" xfId="56" applyNumberFormat="1" applyFont="1" applyBorder="1" applyAlignment="1">
      <alignment horizontal="center" vertical="center"/>
      <protection/>
    </xf>
    <xf numFmtId="167" fontId="6" fillId="0" borderId="1" xfId="56" applyNumberFormat="1" applyFont="1" applyBorder="1" applyAlignment="1">
      <alignment horizontal="center" vertical="center"/>
      <protection/>
    </xf>
    <xf numFmtId="49" fontId="6" fillId="0" borderId="1" xfId="58" applyNumberFormat="1" applyFont="1" applyFill="1" applyBorder="1" applyAlignment="1">
      <alignment horizontal="justify" vertical="center" wrapText="1"/>
      <protection/>
    </xf>
    <xf numFmtId="167" fontId="6" fillId="0" borderId="1" xfId="58" applyNumberFormat="1" applyFont="1" applyFill="1" applyBorder="1" applyAlignment="1">
      <alignment horizontal="center" vertical="center"/>
      <protection/>
    </xf>
    <xf numFmtId="0" fontId="6" fillId="0" borderId="1" xfId="0" applyFont="1" applyFill="1" applyBorder="1" applyAlignment="1">
      <alignment horizontal="center" vertical="center" wrapText="1"/>
    </xf>
    <xf numFmtId="0" fontId="6" fillId="0" borderId="1" xfId="53" applyFont="1" applyBorder="1" applyAlignment="1">
      <alignment horizontal="left" vertical="center" wrapText="1"/>
      <protection/>
    </xf>
    <xf numFmtId="0" fontId="11" fillId="0" borderId="1" xfId="31" applyNumberFormat="1" applyFont="1" applyFill="1" applyBorder="1" applyAlignment="1">
      <alignment horizontal="center" vertical="center" wrapText="1"/>
      <protection/>
    </xf>
    <xf numFmtId="0" fontId="11" fillId="0" borderId="1" xfId="31" applyNumberFormat="1" applyFont="1" applyFill="1" applyBorder="1" applyAlignment="1">
      <alignment horizontal="left" vertical="center" wrapText="1"/>
      <protection/>
    </xf>
    <xf numFmtId="49" fontId="6" fillId="0" borderId="1" xfId="31" applyNumberFormat="1" applyFont="1" applyFill="1" applyBorder="1" applyAlignment="1">
      <alignment horizontal="center" vertical="center" wrapText="1"/>
      <protection/>
    </xf>
    <xf numFmtId="49" fontId="11" fillId="0" borderId="14"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6" fillId="0" borderId="0" xfId="0" applyFont="1" applyAlignment="1">
      <alignment horizontal="right"/>
    </xf>
    <xf numFmtId="0" fontId="11" fillId="0" borderId="0" xfId="0" applyFont="1" applyAlignment="1">
      <alignment horizontal="center" wrapText="1"/>
    </xf>
    <xf numFmtId="49" fontId="11" fillId="0" borderId="14" xfId="0" applyNumberFormat="1" applyFont="1" applyBorder="1" applyAlignment="1">
      <alignment horizontal="left" vertical="center"/>
    </xf>
    <xf numFmtId="49" fontId="11" fillId="0" borderId="15" xfId="0" applyNumberFormat="1" applyFont="1" applyBorder="1" applyAlignment="1">
      <alignment horizontal="left" vertical="center"/>
    </xf>
    <xf numFmtId="49" fontId="11" fillId="0" borderId="8" xfId="0" applyNumberFormat="1" applyFont="1" applyBorder="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57" applyFont="1" applyFill="1" applyBorder="1" applyAlignment="1">
      <alignment horizontal="right" vertical="center"/>
      <protection/>
    </xf>
    <xf numFmtId="0" fontId="6" fillId="0" borderId="0" xfId="57" applyFont="1" applyAlignment="1">
      <alignment horizontal="right" vertical="center"/>
      <protection/>
    </xf>
    <xf numFmtId="0" fontId="11" fillId="0" borderId="16" xfId="57" applyFont="1" applyFill="1" applyBorder="1" applyAlignment="1">
      <alignment horizontal="center" vertical="center" wrapText="1"/>
      <protection/>
    </xf>
    <xf numFmtId="1"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57" applyNumberFormat="1" applyFont="1" applyFill="1" applyBorder="1" applyAlignment="1">
      <alignment horizontal="center" vertical="center" wrapText="1"/>
      <protection/>
    </xf>
    <xf numFmtId="0" fontId="11" fillId="0" borderId="1" xfId="57" applyFont="1" applyFill="1" applyBorder="1" applyAlignment="1">
      <alignment horizontal="center" vertical="center" wrapText="1"/>
      <protection/>
    </xf>
    <xf numFmtId="0" fontId="6" fillId="0" borderId="0" xfId="58" applyFont="1" applyFill="1" applyAlignment="1">
      <alignment horizontal="right"/>
      <protection/>
    </xf>
    <xf numFmtId="0" fontId="11" fillId="0" borderId="0" xfId="58" applyFont="1" applyFill="1" applyAlignment="1">
      <alignment horizontal="center" wrapText="1"/>
      <protection/>
    </xf>
    <xf numFmtId="0" fontId="6" fillId="0" borderId="1" xfId="58" applyFont="1" applyFill="1" applyBorder="1" applyAlignment="1">
      <alignment horizontal="center" vertical="center" wrapText="1"/>
      <protection/>
    </xf>
    <xf numFmtId="167" fontId="6" fillId="0" borderId="1" xfId="58" applyNumberFormat="1" applyFont="1" applyFill="1" applyBorder="1" applyAlignment="1">
      <alignment horizontal="center" vertical="center" wrapText="1"/>
      <protection/>
    </xf>
    <xf numFmtId="0" fontId="11" fillId="0" borderId="1" xfId="58" applyFont="1" applyFill="1" applyBorder="1" applyAlignment="1">
      <alignment horizontal="center" vertical="center" wrapText="1"/>
      <protection/>
    </xf>
    <xf numFmtId="0" fontId="11" fillId="0" borderId="1" xfId="58" applyFont="1" applyFill="1" applyBorder="1" applyAlignment="1">
      <alignment horizontal="center" vertical="top" wrapText="1"/>
      <protection/>
    </xf>
    <xf numFmtId="49" fontId="11" fillId="0" borderId="1" xfId="58" applyNumberFormat="1" applyFont="1" applyFill="1" applyBorder="1" applyAlignment="1">
      <alignment horizontal="center" vertical="top" wrapText="1"/>
      <protection/>
    </xf>
    <xf numFmtId="49" fontId="11" fillId="0" borderId="1" xfId="58" applyNumberFormat="1" applyFont="1" applyFill="1" applyBorder="1" applyAlignment="1">
      <alignment horizontal="center" vertical="center" wrapText="1"/>
      <protection/>
    </xf>
    <xf numFmtId="0" fontId="12" fillId="0" borderId="17" xfId="31" applyNumberFormat="1" applyFont="1" applyFill="1" applyBorder="1" applyAlignment="1">
      <alignment horizontal="center" vertical="center" wrapText="1"/>
      <protection/>
    </xf>
    <xf numFmtId="0" fontId="12" fillId="0" borderId="0" xfId="31" applyNumberFormat="1" applyFont="1" applyFill="1" applyBorder="1" applyAlignment="1">
      <alignment horizontal="center" vertical="center" wrapText="1"/>
      <protection/>
    </xf>
    <xf numFmtId="0" fontId="8" fillId="0" borderId="0" xfId="31" applyNumberFormat="1" applyFont="1" applyFill="1" applyAlignment="1">
      <alignment horizontal="right" vertical="center" wrapText="1"/>
      <protection/>
    </xf>
    <xf numFmtId="0" fontId="11" fillId="0" borderId="0" xfId="31" applyNumberFormat="1" applyFont="1" applyFill="1" applyAlignment="1">
      <alignment horizontal="center" vertical="center" wrapText="1"/>
      <protection/>
    </xf>
    <xf numFmtId="0" fontId="6" fillId="0" borderId="0" xfId="31" applyNumberFormat="1" applyFont="1" applyFill="1" applyAlignment="1">
      <alignment horizontal="right" vertical="top" wrapText="1"/>
      <protection/>
    </xf>
    <xf numFmtId="0" fontId="6" fillId="0" borderId="0" xfId="31" applyNumberFormat="1" applyFont="1" applyFill="1" applyAlignment="1">
      <alignment horizontal="right" vertical="center" wrapText="1"/>
      <protection/>
    </xf>
    <xf numFmtId="0" fontId="6" fillId="0" borderId="0" xfId="32" applyNumberFormat="1" applyFont="1" applyFill="1" applyAlignment="1">
      <alignment horizontal="right" vertical="center" wrapText="1"/>
      <protection/>
    </xf>
    <xf numFmtId="0" fontId="11" fillId="0" borderId="0" xfId="32" applyNumberFormat="1" applyFont="1" applyFill="1" applyBorder="1" applyAlignment="1">
      <alignment horizontal="center" vertical="center" wrapText="1"/>
      <protection/>
    </xf>
    <xf numFmtId="0" fontId="6" fillId="0" borderId="1" xfId="0" applyFont="1" applyFill="1" applyBorder="1" applyAlignment="1">
      <alignment horizontal="center" vertical="center" wrapText="1"/>
    </xf>
    <xf numFmtId="0" fontId="6" fillId="0" borderId="7" xfId="32" applyNumberFormat="1" applyFont="1" applyFill="1" applyBorder="1" applyAlignment="1">
      <alignment horizontal="center" vertical="center" wrapText="1"/>
      <protection/>
    </xf>
    <xf numFmtId="0" fontId="6" fillId="0" borderId="12" xfId="32" applyNumberFormat="1" applyFont="1" applyFill="1" applyBorder="1" applyAlignment="1">
      <alignment horizontal="center" vertical="center" wrapText="1"/>
      <protection/>
    </xf>
    <xf numFmtId="0" fontId="6" fillId="0" borderId="1" xfId="32" applyNumberFormat="1" applyFont="1" applyFill="1" applyBorder="1" applyAlignment="1">
      <alignment horizontal="center" vertical="center" wrapText="1"/>
      <protection/>
    </xf>
    <xf numFmtId="0" fontId="11" fillId="0" borderId="16" xfId="32" applyNumberFormat="1" applyFont="1" applyFill="1" applyBorder="1" applyAlignment="1">
      <alignment horizontal="center" vertical="center" wrapText="1"/>
      <protection/>
    </xf>
    <xf numFmtId="0" fontId="6" fillId="0" borderId="0" xfId="0" applyFont="1" applyFill="1" applyAlignment="1">
      <alignment horizontal="right"/>
    </xf>
    <xf numFmtId="0" fontId="6" fillId="0" borderId="0" xfId="0" applyFont="1" applyFill="1" applyAlignment="1">
      <alignment horizontal="center" vertical="center" wrapText="1"/>
    </xf>
    <xf numFmtId="0" fontId="11" fillId="0" borderId="16" xfId="0" applyFont="1" applyFill="1" applyBorder="1" applyAlignment="1">
      <alignment horizontal="center" vertical="center" wrapText="1"/>
    </xf>
    <xf numFmtId="0" fontId="6" fillId="0" borderId="1" xfId="63" applyFont="1" applyBorder="1" applyAlignment="1">
      <alignment horizontal="center" vertical="center" wrapText="1"/>
      <protection/>
    </xf>
    <xf numFmtId="0" fontId="8" fillId="0" borderId="0" xfId="31" applyNumberFormat="1" applyFont="1" applyFill="1" applyAlignment="1">
      <alignment horizontal="right" vertical="top" wrapText="1"/>
      <protection/>
    </xf>
    <xf numFmtId="0" fontId="8" fillId="0" borderId="7" xfId="31" applyNumberFormat="1" applyFont="1" applyFill="1" applyBorder="1" applyAlignment="1">
      <alignment horizontal="center" vertical="center" wrapText="1"/>
      <protection/>
    </xf>
    <xf numFmtId="0" fontId="6" fillId="0" borderId="1" xfId="53" applyFont="1" applyBorder="1" applyAlignment="1">
      <alignment horizontal="center" vertical="center" wrapText="1"/>
      <protection/>
    </xf>
    <xf numFmtId="0" fontId="6" fillId="0" borderId="1" xfId="53" applyFont="1" applyBorder="1" applyAlignment="1">
      <alignment horizontal="left" vertical="center" wrapText="1"/>
      <protection/>
    </xf>
    <xf numFmtId="0" fontId="6" fillId="0" borderId="14" xfId="53" applyFont="1" applyBorder="1" applyAlignment="1">
      <alignment horizontal="center" vertical="center" wrapText="1"/>
      <protection/>
    </xf>
    <xf numFmtId="0" fontId="6" fillId="0" borderId="15" xfId="53" applyFont="1" applyBorder="1" applyAlignment="1">
      <alignment horizontal="center" vertical="center" wrapText="1"/>
      <protection/>
    </xf>
    <xf numFmtId="0" fontId="6" fillId="0" borderId="1" xfId="62" applyFont="1" applyBorder="1" applyAlignment="1">
      <alignment horizontal="center" vertical="center" wrapText="1"/>
      <protection/>
    </xf>
    <xf numFmtId="0" fontId="11" fillId="0" borderId="0" xfId="53" applyFont="1" applyAlignment="1">
      <alignment horizontal="center"/>
      <protection/>
    </xf>
    <xf numFmtId="0" fontId="9" fillId="0" borderId="0" xfId="0" applyFont="1" applyFill="1" applyAlignment="1">
      <alignment horizontal="right" vertical="center"/>
    </xf>
    <xf numFmtId="0" fontId="5" fillId="0" borderId="0" xfId="0" applyFont="1" applyFill="1" applyAlignment="1">
      <alignment horizontal="center" wrapText="1"/>
    </xf>
    <xf numFmtId="0" fontId="5" fillId="0" borderId="0" xfId="0" applyFont="1" applyFill="1" applyAlignment="1">
      <alignment horizontal="center" vertical="center"/>
    </xf>
    <xf numFmtId="0" fontId="4" fillId="0" borderId="0" xfId="63" applyFont="1" applyAlignment="1">
      <alignment horizontal="left" vertical="top" wrapText="1"/>
      <protection/>
    </xf>
    <xf numFmtId="0" fontId="9" fillId="0" borderId="0" xfId="63" applyFont="1" applyAlignment="1">
      <alignment horizontal="right" vertical="top" wrapText="1"/>
      <protection/>
    </xf>
    <xf numFmtId="168" fontId="9" fillId="0" borderId="0" xfId="64" applyNumberFormat="1" applyFont="1" applyAlignment="1">
      <alignment horizontal="right" vertical="top" wrapText="1"/>
    </xf>
    <xf numFmtId="0" fontId="5" fillId="0" borderId="0" xfId="63" applyFont="1" applyAlignment="1">
      <alignment horizontal="center" vertical="top" wrapText="1"/>
      <protection/>
    </xf>
    <xf numFmtId="0" fontId="4" fillId="0" borderId="0" xfId="63" applyFont="1" applyAlignment="1">
      <alignment horizontal="left" vertical="center" wrapText="1"/>
      <protection/>
    </xf>
  </cellXfs>
  <cellStyles count="51">
    <cellStyle name="Normal" xfId="0"/>
    <cellStyle name="Percent" xfId="15"/>
    <cellStyle name="Currency" xfId="16"/>
    <cellStyle name="Currency [0]" xfId="17"/>
    <cellStyle name="Comma" xfId="18"/>
    <cellStyle name="Comma [0]" xfId="19"/>
    <cellStyle name="Обычный 2" xfId="20"/>
    <cellStyle name="Обычный 3" xfId="21"/>
    <cellStyle name="Обычный 4" xfId="22"/>
    <cellStyle name="Финансовый 2" xfId="23"/>
    <cellStyle name="Обычный 5" xfId="24"/>
    <cellStyle name="Обычный 6" xfId="25"/>
    <cellStyle name="Обычный 7" xfId="26"/>
    <cellStyle name="Обычный 8" xfId="27"/>
    <cellStyle name="Обычный 4 2" xfId="28"/>
    <cellStyle name="Обычный 9" xfId="29"/>
    <cellStyle name="Обычный 2 2" xfId="30"/>
    <cellStyle name="Обычный 10" xfId="31"/>
    <cellStyle name="Обычный 11" xfId="32"/>
    <cellStyle name="Обычный 2 3" xfId="33"/>
    <cellStyle name="Обычный 2 4" xfId="34"/>
    <cellStyle name="Обычный 2 5" xfId="35"/>
    <cellStyle name="Обычный 2 6" xfId="36"/>
    <cellStyle name="Обычный 2 7" xfId="37"/>
    <cellStyle name="Обычный 4 2 2" xfId="38"/>
    <cellStyle name="Обычный 4 2 2 2" xfId="39"/>
    <cellStyle name="Обычный 2 8" xfId="40"/>
    <cellStyle name="Обычный_Прилож. № (общее образ) " xfId="41"/>
    <cellStyle name="Обычный 2 8 2" xfId="42"/>
    <cellStyle name="Обычный 12" xfId="43"/>
    <cellStyle name="Обычный 2 8 3" xfId="44"/>
    <cellStyle name="Обычный 13" xfId="45"/>
    <cellStyle name="Обычный 4 2 3" xfId="46"/>
    <cellStyle name="Обычный 2 8 4" xfId="47"/>
    <cellStyle name="Обычный 13 2" xfId="48"/>
    <cellStyle name="Обычный 4 2 3 2" xfId="49"/>
    <cellStyle name="Обычный 2 8 5" xfId="50"/>
    <cellStyle name="Обычный 2 8 6" xfId="51"/>
    <cellStyle name="Обычный 14" xfId="52"/>
    <cellStyle name="Обычный 13 2 2" xfId="53"/>
    <cellStyle name="Обычный 4 2 3 2 2" xfId="54"/>
    <cellStyle name="Обычный 2 8 7" xfId="55"/>
    <cellStyle name="Обычный 15" xfId="56"/>
    <cellStyle name="Обычный 2 8 7 2" xfId="57"/>
    <cellStyle name="Обычный 10 2" xfId="58"/>
    <cellStyle name="Обычный 11 2" xfId="59"/>
    <cellStyle name="Обычный 2 9" xfId="60"/>
    <cellStyle name="Обычный 4 2 2 2 2" xfId="61"/>
    <cellStyle name="Обычный 4 2 2 2 2 2" xfId="62"/>
    <cellStyle name="Обычный_приложение_Программа госзаимствований 2003" xfId="63"/>
    <cellStyle name="Финансовый [0]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3"/>
  <sheetViews>
    <sheetView workbookViewId="0" topLeftCell="A1">
      <selection activeCell="A4" sqref="A4"/>
    </sheetView>
  </sheetViews>
  <sheetFormatPr defaultColWidth="9.125" defaultRowHeight="12.75"/>
  <cols>
    <col min="1" max="1" width="31.75390625" style="18" customWidth="1"/>
    <col min="2" max="2" width="53.25390625" style="18" customWidth="1"/>
    <col min="3" max="3" width="14.25390625" style="19" customWidth="1"/>
    <col min="4" max="4" width="14.375" style="18" customWidth="1"/>
    <col min="5" max="16384" width="9.125" style="18" customWidth="1"/>
  </cols>
  <sheetData>
    <row r="1" spans="1:4" ht="12.75">
      <c r="A1" s="263" t="s">
        <v>27</v>
      </c>
      <c r="B1" s="263"/>
      <c r="C1" s="263"/>
      <c r="D1" s="263"/>
    </row>
    <row r="2" spans="1:4" ht="12.75">
      <c r="A2" s="263" t="s">
        <v>649</v>
      </c>
      <c r="B2" s="263"/>
      <c r="C2" s="263"/>
      <c r="D2" s="263"/>
    </row>
    <row r="3" spans="1:4" ht="12.75">
      <c r="A3" s="263" t="s">
        <v>1143</v>
      </c>
      <c r="B3" s="263"/>
      <c r="C3" s="263"/>
      <c r="D3" s="263"/>
    </row>
    <row r="5" spans="1:4" ht="12.75">
      <c r="A5" s="264" t="s">
        <v>28</v>
      </c>
      <c r="B5" s="264"/>
      <c r="C5" s="264"/>
      <c r="D5" s="264"/>
    </row>
    <row r="6" spans="1:4" ht="12.75">
      <c r="A6" s="264" t="s">
        <v>684</v>
      </c>
      <c r="B6" s="264"/>
      <c r="C6" s="264"/>
      <c r="D6" s="264"/>
    </row>
    <row r="7" ht="12.75">
      <c r="D7" s="18" t="s">
        <v>685</v>
      </c>
    </row>
    <row r="8" spans="1:4" ht="47.25">
      <c r="A8" s="34" t="s">
        <v>691</v>
      </c>
      <c r="B8" s="21" t="s">
        <v>24</v>
      </c>
      <c r="C8" s="20" t="s">
        <v>686</v>
      </c>
      <c r="D8" s="21" t="s">
        <v>687</v>
      </c>
    </row>
    <row r="9" spans="1:4" ht="12.75">
      <c r="A9" s="22" t="s">
        <v>6</v>
      </c>
      <c r="B9" s="23">
        <v>2</v>
      </c>
      <c r="C9" s="23">
        <v>3</v>
      </c>
      <c r="D9" s="24">
        <v>4</v>
      </c>
    </row>
    <row r="10" spans="1:4" ht="31.5">
      <c r="A10" s="25" t="s">
        <v>312</v>
      </c>
      <c r="B10" s="26" t="s">
        <v>313</v>
      </c>
      <c r="C10" s="27">
        <f>C11</f>
        <v>-10000</v>
      </c>
      <c r="D10" s="27">
        <f aca="true" t="shared" si="0" ref="D10">D11</f>
        <v>-10000</v>
      </c>
    </row>
    <row r="11" spans="1:4" ht="51.6" customHeight="1">
      <c r="A11" s="28" t="s">
        <v>314</v>
      </c>
      <c r="B11" s="29" t="s">
        <v>315</v>
      </c>
      <c r="C11" s="30">
        <f>C12</f>
        <v>-10000</v>
      </c>
      <c r="D11" s="30">
        <f>D12</f>
        <v>-10000</v>
      </c>
    </row>
    <row r="12" spans="1:4" ht="69" customHeight="1">
      <c r="A12" s="28" t="s">
        <v>316</v>
      </c>
      <c r="B12" s="29" t="s">
        <v>317</v>
      </c>
      <c r="C12" s="31">
        <v>-10000</v>
      </c>
      <c r="D12" s="30">
        <v>-10000</v>
      </c>
    </row>
    <row r="13" spans="1:4" ht="31.5">
      <c r="A13" s="25" t="s">
        <v>29</v>
      </c>
      <c r="B13" s="26" t="s">
        <v>113</v>
      </c>
      <c r="C13" s="27">
        <v>15051.7</v>
      </c>
      <c r="D13" s="27">
        <f aca="true" t="shared" si="1" ref="D13">D14+D17</f>
        <v>-7726.899999999907</v>
      </c>
    </row>
    <row r="14" spans="1:4" ht="28.15" customHeight="1">
      <c r="A14" s="28" t="s">
        <v>30</v>
      </c>
      <c r="B14" s="29" t="s">
        <v>31</v>
      </c>
      <c r="C14" s="30">
        <f aca="true" t="shared" si="2" ref="C14:D15">C15</f>
        <v>-751379.7</v>
      </c>
      <c r="D14" s="30">
        <f t="shared" si="2"/>
        <v>-752459.2</v>
      </c>
    </row>
    <row r="15" spans="1:4" ht="21" customHeight="1">
      <c r="A15" s="28" t="s">
        <v>32</v>
      </c>
      <c r="B15" s="29" t="s">
        <v>33</v>
      </c>
      <c r="C15" s="30">
        <f t="shared" si="2"/>
        <v>-751379.7</v>
      </c>
      <c r="D15" s="30">
        <f t="shared" si="2"/>
        <v>-752459.2</v>
      </c>
    </row>
    <row r="16" spans="1:4" ht="33" customHeight="1">
      <c r="A16" s="28" t="s">
        <v>34</v>
      </c>
      <c r="B16" s="29" t="s">
        <v>35</v>
      </c>
      <c r="C16" s="30">
        <v>-751379.7</v>
      </c>
      <c r="D16" s="7">
        <v>-752459.2</v>
      </c>
    </row>
    <row r="17" spans="1:4" ht="21" customHeight="1">
      <c r="A17" s="28" t="s">
        <v>36</v>
      </c>
      <c r="B17" s="29" t="s">
        <v>37</v>
      </c>
      <c r="C17" s="30">
        <f aca="true" t="shared" si="3" ref="C17:D18">C18</f>
        <v>766401.4</v>
      </c>
      <c r="D17" s="30">
        <f t="shared" si="3"/>
        <v>744732.3</v>
      </c>
    </row>
    <row r="18" spans="1:4" ht="21" customHeight="1">
      <c r="A18" s="28" t="s">
        <v>38</v>
      </c>
      <c r="B18" s="29" t="s">
        <v>39</v>
      </c>
      <c r="C18" s="30">
        <f t="shared" si="3"/>
        <v>766401.4</v>
      </c>
      <c r="D18" s="30">
        <f t="shared" si="3"/>
        <v>744732.3</v>
      </c>
    </row>
    <row r="19" spans="1:4" ht="34.9" customHeight="1">
      <c r="A19" s="28" t="s">
        <v>40</v>
      </c>
      <c r="B19" s="29" t="s">
        <v>41</v>
      </c>
      <c r="C19" s="30">
        <f>756431.4+10000-30</f>
        <v>766401.4</v>
      </c>
      <c r="D19" s="7">
        <v>744732.3</v>
      </c>
    </row>
    <row r="20" spans="1:4" ht="25.15" customHeight="1">
      <c r="A20" s="261" t="s">
        <v>42</v>
      </c>
      <c r="B20" s="262"/>
      <c r="C20" s="27">
        <f>C13+C10</f>
        <v>5051.700000000001</v>
      </c>
      <c r="D20" s="27">
        <f aca="true" t="shared" si="4" ref="D20">D13+D10</f>
        <v>-17726.899999999907</v>
      </c>
    </row>
    <row r="22" spans="1:2" ht="12.75">
      <c r="A22" s="32"/>
      <c r="B22" s="33"/>
    </row>
    <row r="23" ht="12.75">
      <c r="B23" s="16"/>
    </row>
  </sheetData>
  <mergeCells count="6">
    <mergeCell ref="A20:B20"/>
    <mergeCell ref="A1:D1"/>
    <mergeCell ref="A2:D2"/>
    <mergeCell ref="A3:D3"/>
    <mergeCell ref="A5:D5"/>
    <mergeCell ref="A6:D6"/>
  </mergeCells>
  <printOptions/>
  <pageMargins left="0.7874015748031497" right="0.1968503937007874" top="0.3937007874015748" bottom="0.1968503937007874" header="0.5118110236220472" footer="0.5118110236220472"/>
  <pageSetup fitToHeight="0"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J71"/>
  <sheetViews>
    <sheetView workbookViewId="0" topLeftCell="A1">
      <selection activeCell="A4" sqref="A4:D4"/>
    </sheetView>
  </sheetViews>
  <sheetFormatPr defaultColWidth="9.125" defaultRowHeight="12.75"/>
  <cols>
    <col min="1" max="1" width="15.75390625" style="190" customWidth="1"/>
    <col min="2" max="2" width="6.25390625" style="190" customWidth="1"/>
    <col min="3" max="3" width="64.25390625" style="191" customWidth="1"/>
    <col min="4" max="4" width="13.00390625" style="190" customWidth="1"/>
    <col min="5" max="5" width="13.625" style="191" customWidth="1"/>
    <col min="6" max="16384" width="9.125" style="191" customWidth="1"/>
  </cols>
  <sheetData>
    <row r="1" spans="3:5" ht="12.75">
      <c r="C1" s="300" t="s">
        <v>683</v>
      </c>
      <c r="D1" s="300"/>
      <c r="E1" s="300"/>
    </row>
    <row r="2" spans="3:5" ht="12.75">
      <c r="C2" s="300" t="s">
        <v>649</v>
      </c>
      <c r="D2" s="300"/>
      <c r="E2" s="300"/>
    </row>
    <row r="3" spans="3:5" ht="12.75">
      <c r="C3" s="300" t="s">
        <v>1144</v>
      </c>
      <c r="D3" s="300"/>
      <c r="E3" s="300"/>
    </row>
    <row r="4" spans="1:4" ht="15.6" customHeight="1">
      <c r="A4" s="301"/>
      <c r="B4" s="301"/>
      <c r="C4" s="301"/>
      <c r="D4" s="301"/>
    </row>
    <row r="5" spans="1:5" ht="69" customHeight="1">
      <c r="A5" s="302" t="s">
        <v>1116</v>
      </c>
      <c r="B5" s="302"/>
      <c r="C5" s="302"/>
      <c r="D5" s="302"/>
      <c r="E5" s="302"/>
    </row>
    <row r="6" spans="1:5" ht="20.25" customHeight="1">
      <c r="A6" s="295" t="s">
        <v>22</v>
      </c>
      <c r="B6" s="295" t="s">
        <v>21</v>
      </c>
      <c r="C6" s="295" t="s">
        <v>24</v>
      </c>
      <c r="D6" s="295" t="s">
        <v>686</v>
      </c>
      <c r="E6" s="295" t="s">
        <v>687</v>
      </c>
    </row>
    <row r="7" spans="1:5" ht="18.75" customHeight="1">
      <c r="A7" s="295"/>
      <c r="B7" s="295"/>
      <c r="C7" s="295"/>
      <c r="D7" s="295"/>
      <c r="E7" s="295"/>
    </row>
    <row r="8" spans="1:5" ht="28.15" customHeight="1">
      <c r="A8" s="295"/>
      <c r="B8" s="295"/>
      <c r="C8" s="295"/>
      <c r="D8" s="295"/>
      <c r="E8" s="295"/>
    </row>
    <row r="9" spans="1:5" ht="12.75">
      <c r="A9" s="133">
        <v>1</v>
      </c>
      <c r="B9" s="133">
        <v>2</v>
      </c>
      <c r="C9" s="133">
        <v>3</v>
      </c>
      <c r="D9" s="192">
        <v>4</v>
      </c>
      <c r="E9" s="193">
        <v>5</v>
      </c>
    </row>
    <row r="10" spans="1:8" ht="12.75">
      <c r="A10" s="133"/>
      <c r="B10" s="133"/>
      <c r="C10" s="194" t="s">
        <v>85</v>
      </c>
      <c r="D10" s="195">
        <f>D11+D13+D15+D17+D19+D21+D23+D25+D27+D30+D32+D36+D34+D40+D42+D44+D46+D48+D50+D52+D54+D57+D63+D66+D61+D70</f>
        <v>376940.00000000006</v>
      </c>
      <c r="E10" s="195">
        <f>E11+E13+E15+E17+E19+E21+E23+E25+E27+E30+E32+E36+E34+E40+E42+E44+E46+E48+E50+E52+E54+E57+E63+E66+E61+E70</f>
        <v>362107.89999999997</v>
      </c>
      <c r="G10" s="196"/>
      <c r="H10" s="196"/>
    </row>
    <row r="11" spans="1:10" ht="81.75" customHeight="1">
      <c r="A11" s="62"/>
      <c r="B11" s="62"/>
      <c r="C11" s="197" t="s">
        <v>503</v>
      </c>
      <c r="D11" s="198">
        <f>D12</f>
        <v>93411.2</v>
      </c>
      <c r="E11" s="198">
        <f aca="true" t="shared" si="0" ref="E11">E12</f>
        <v>93411.2</v>
      </c>
      <c r="J11" s="199"/>
    </row>
    <row r="12" spans="1:5" ht="31.5">
      <c r="A12" s="62" t="s">
        <v>295</v>
      </c>
      <c r="B12" s="62" t="s">
        <v>14</v>
      </c>
      <c r="C12" s="45" t="s">
        <v>504</v>
      </c>
      <c r="D12" s="200">
        <f>'№6'!F466</f>
        <v>93411.2</v>
      </c>
      <c r="E12" s="200">
        <f>'№6'!G466</f>
        <v>93411.2</v>
      </c>
    </row>
    <row r="13" spans="1:5" ht="110.25">
      <c r="A13" s="201"/>
      <c r="B13" s="201"/>
      <c r="C13" s="197" t="s">
        <v>505</v>
      </c>
      <c r="D13" s="198">
        <f>D14</f>
        <v>176653</v>
      </c>
      <c r="E13" s="198">
        <f aca="true" t="shared" si="1" ref="E13">E14</f>
        <v>176653</v>
      </c>
    </row>
    <row r="14" spans="1:5" ht="31.5">
      <c r="A14" s="62" t="s">
        <v>301</v>
      </c>
      <c r="B14" s="62" t="s">
        <v>14</v>
      </c>
      <c r="C14" s="48" t="s">
        <v>504</v>
      </c>
      <c r="D14" s="200">
        <f>'№6'!F493</f>
        <v>176653</v>
      </c>
      <c r="E14" s="200">
        <f>'№6'!G493</f>
        <v>176653</v>
      </c>
    </row>
    <row r="15" spans="1:5" s="202" customFormat="1" ht="126">
      <c r="A15" s="201"/>
      <c r="B15" s="201"/>
      <c r="C15" s="197" t="s">
        <v>506</v>
      </c>
      <c r="D15" s="195">
        <f>D16</f>
        <v>9069.300000000001</v>
      </c>
      <c r="E15" s="195">
        <f aca="true" t="shared" si="2" ref="E15">E16</f>
        <v>9069.3</v>
      </c>
    </row>
    <row r="16" spans="1:5" s="202" customFormat="1" ht="30.75" customHeight="1">
      <c r="A16" s="62" t="s">
        <v>306</v>
      </c>
      <c r="B16" s="62" t="s">
        <v>14</v>
      </c>
      <c r="C16" s="45" t="s">
        <v>504</v>
      </c>
      <c r="D16" s="66">
        <f>'№6'!F565</f>
        <v>9069.300000000001</v>
      </c>
      <c r="E16" s="66">
        <f>'№6'!G565</f>
        <v>9069.3</v>
      </c>
    </row>
    <row r="17" spans="1:5" s="202" customFormat="1" ht="51" customHeight="1">
      <c r="A17" s="201"/>
      <c r="B17" s="201"/>
      <c r="C17" s="197" t="s">
        <v>507</v>
      </c>
      <c r="D17" s="195">
        <f>D18</f>
        <v>650</v>
      </c>
      <c r="E17" s="195">
        <f aca="true" t="shared" si="3" ref="E17">E18</f>
        <v>650</v>
      </c>
    </row>
    <row r="18" spans="1:5" s="202" customFormat="1" ht="12.75">
      <c r="A18" s="62" t="s">
        <v>204</v>
      </c>
      <c r="B18" s="62" t="s">
        <v>25</v>
      </c>
      <c r="C18" s="68" t="s">
        <v>112</v>
      </c>
      <c r="D18" s="66">
        <f>'№6'!F18</f>
        <v>650</v>
      </c>
      <c r="E18" s="66">
        <f>'№6'!G18</f>
        <v>650</v>
      </c>
    </row>
    <row r="19" spans="1:5" s="202" customFormat="1" ht="127.5" customHeight="1">
      <c r="A19" s="62"/>
      <c r="B19" s="62"/>
      <c r="C19" s="197" t="s">
        <v>508</v>
      </c>
      <c r="D19" s="195">
        <f>D20</f>
        <v>395.8</v>
      </c>
      <c r="E19" s="195">
        <f aca="true" t="shared" si="4" ref="E19">E20</f>
        <v>395.8</v>
      </c>
    </row>
    <row r="20" spans="1:5" s="202" customFormat="1" ht="15.75" customHeight="1">
      <c r="A20" s="34" t="s">
        <v>220</v>
      </c>
      <c r="B20" s="62" t="s">
        <v>25</v>
      </c>
      <c r="C20" s="68" t="s">
        <v>112</v>
      </c>
      <c r="D20" s="66">
        <f>'№6'!F97</f>
        <v>395.8</v>
      </c>
      <c r="E20" s="66">
        <f>'№6'!G97</f>
        <v>395.8</v>
      </c>
    </row>
    <row r="21" spans="1:5" s="202" customFormat="1" ht="47.25">
      <c r="A21" s="201"/>
      <c r="B21" s="201"/>
      <c r="C21" s="197" t="s">
        <v>509</v>
      </c>
      <c r="D21" s="195">
        <f>D22</f>
        <v>1393.5</v>
      </c>
      <c r="E21" s="195">
        <f aca="true" t="shared" si="5" ref="E21">E22</f>
        <v>1393.5</v>
      </c>
    </row>
    <row r="22" spans="1:5" s="202" customFormat="1" ht="14.25" customHeight="1">
      <c r="A22" s="34" t="s">
        <v>215</v>
      </c>
      <c r="B22" s="62" t="s">
        <v>25</v>
      </c>
      <c r="C22" s="48" t="s">
        <v>112</v>
      </c>
      <c r="D22" s="66">
        <f>'№6'!F78</f>
        <v>1393.5</v>
      </c>
      <c r="E22" s="66">
        <f>'№6'!G78</f>
        <v>1393.5</v>
      </c>
    </row>
    <row r="23" spans="1:5" s="202" customFormat="1" ht="81" customHeight="1">
      <c r="A23" s="201"/>
      <c r="B23" s="201"/>
      <c r="C23" s="197" t="s">
        <v>510</v>
      </c>
      <c r="D23" s="195">
        <f>D24</f>
        <v>264</v>
      </c>
      <c r="E23" s="195">
        <f aca="true" t="shared" si="6" ref="E23">E24</f>
        <v>255.8</v>
      </c>
    </row>
    <row r="24" spans="1:5" s="202" customFormat="1" ht="16.5" customHeight="1">
      <c r="A24" s="34" t="s">
        <v>214</v>
      </c>
      <c r="B24" s="62" t="s">
        <v>25</v>
      </c>
      <c r="C24" s="48" t="s">
        <v>112</v>
      </c>
      <c r="D24" s="66">
        <f>'№6'!F60</f>
        <v>264</v>
      </c>
      <c r="E24" s="66">
        <f>'№6'!G60</f>
        <v>255.8</v>
      </c>
    </row>
    <row r="25" spans="1:5" ht="78.75" customHeight="1">
      <c r="A25" s="62"/>
      <c r="B25" s="62"/>
      <c r="C25" s="44" t="s">
        <v>511</v>
      </c>
      <c r="D25" s="195">
        <f>D26</f>
        <v>5353</v>
      </c>
      <c r="E25" s="195">
        <f>E26</f>
        <v>5353</v>
      </c>
    </row>
    <row r="26" spans="1:5" ht="32.25" customHeight="1">
      <c r="A26" s="62" t="s">
        <v>311</v>
      </c>
      <c r="B26" s="62" t="s">
        <v>58</v>
      </c>
      <c r="C26" s="45" t="s">
        <v>521</v>
      </c>
      <c r="D26" s="66">
        <f>'№6'!F356</f>
        <v>5353</v>
      </c>
      <c r="E26" s="66">
        <f>'№6'!G356</f>
        <v>5353</v>
      </c>
    </row>
    <row r="27" spans="1:5" ht="47.25">
      <c r="A27" s="63"/>
      <c r="B27" s="63"/>
      <c r="C27" s="44" t="s">
        <v>516</v>
      </c>
      <c r="D27" s="195">
        <f>D28+D29</f>
        <v>1477.9</v>
      </c>
      <c r="E27" s="195">
        <f aca="true" t="shared" si="7" ref="E27">E28+E29</f>
        <v>1413.8</v>
      </c>
    </row>
    <row r="28" spans="1:5" ht="12.75">
      <c r="A28" s="203" t="s">
        <v>512</v>
      </c>
      <c r="B28" s="74" t="s">
        <v>25</v>
      </c>
      <c r="C28" s="75" t="s">
        <v>112</v>
      </c>
      <c r="D28" s="204">
        <f>'№6'!F164</f>
        <v>677.9</v>
      </c>
      <c r="E28" s="204">
        <f>'№6'!G164</f>
        <v>624.4</v>
      </c>
    </row>
    <row r="29" spans="1:5" ht="12.75">
      <c r="A29" s="205" t="s">
        <v>518</v>
      </c>
      <c r="B29" s="62" t="s">
        <v>25</v>
      </c>
      <c r="C29" s="48" t="s">
        <v>112</v>
      </c>
      <c r="D29" s="206">
        <f>'№6'!F117</f>
        <v>800</v>
      </c>
      <c r="E29" s="206">
        <f>'№6'!G117</f>
        <v>789.4</v>
      </c>
    </row>
    <row r="30" spans="1:5" ht="47.25">
      <c r="A30" s="62"/>
      <c r="B30" s="62"/>
      <c r="C30" s="44" t="s">
        <v>520</v>
      </c>
      <c r="D30" s="201">
        <f>D31</f>
        <v>4212.5</v>
      </c>
      <c r="E30" s="207">
        <f aca="true" t="shared" si="8" ref="E30">E31</f>
        <v>4212.5</v>
      </c>
    </row>
    <row r="31" spans="1:5" ht="31.5">
      <c r="A31" s="14" t="s">
        <v>552</v>
      </c>
      <c r="B31" s="62" t="s">
        <v>14</v>
      </c>
      <c r="C31" s="48" t="s">
        <v>504</v>
      </c>
      <c r="D31" s="63">
        <f>'№6'!F487</f>
        <v>4212.5</v>
      </c>
      <c r="E31" s="63">
        <f>'№6'!G487</f>
        <v>4212.5</v>
      </c>
    </row>
    <row r="32" spans="1:5" ht="110.25">
      <c r="A32" s="63"/>
      <c r="B32" s="63"/>
      <c r="C32" s="44" t="s">
        <v>556</v>
      </c>
      <c r="D32" s="207">
        <f>D33</f>
        <v>2.6</v>
      </c>
      <c r="E32" s="207">
        <f aca="true" t="shared" si="9" ref="E32">E33</f>
        <v>2.6</v>
      </c>
    </row>
    <row r="33" spans="1:5" ht="12.75">
      <c r="A33" s="14" t="s">
        <v>554</v>
      </c>
      <c r="B33" s="62" t="s">
        <v>25</v>
      </c>
      <c r="C33" s="48" t="s">
        <v>112</v>
      </c>
      <c r="D33" s="63">
        <f>'№6'!F64</f>
        <v>2.6</v>
      </c>
      <c r="E33" s="63">
        <f>'№6'!G64</f>
        <v>2.6</v>
      </c>
    </row>
    <row r="34" spans="1:5" ht="36" customHeight="1">
      <c r="A34" s="63"/>
      <c r="B34" s="63"/>
      <c r="C34" s="44" t="s">
        <v>558</v>
      </c>
      <c r="D34" s="207">
        <f>D35</f>
        <v>5153.9</v>
      </c>
      <c r="E34" s="207">
        <f aca="true" t="shared" si="10" ref="E34">E35</f>
        <v>4285.9</v>
      </c>
    </row>
    <row r="35" spans="1:5" ht="31.5">
      <c r="A35" s="62" t="s">
        <v>557</v>
      </c>
      <c r="B35" s="62" t="s">
        <v>14</v>
      </c>
      <c r="C35" s="48" t="s">
        <v>504</v>
      </c>
      <c r="D35" s="206">
        <f>'№6'!F490</f>
        <v>5153.9</v>
      </c>
      <c r="E35" s="206">
        <f>'№6'!G490</f>
        <v>4285.9</v>
      </c>
    </row>
    <row r="36" spans="1:5" ht="31.5">
      <c r="A36" s="62"/>
      <c r="B36" s="62"/>
      <c r="C36" s="44" t="s">
        <v>519</v>
      </c>
      <c r="D36" s="201">
        <f>D37+D38+D39</f>
        <v>3065.9</v>
      </c>
      <c r="E36" s="207">
        <f aca="true" t="shared" si="11" ref="E36">E37+E38+E39</f>
        <v>3065.8</v>
      </c>
    </row>
    <row r="37" spans="1:5" ht="31.5">
      <c r="A37" s="14" t="s">
        <v>560</v>
      </c>
      <c r="B37" s="62" t="s">
        <v>7</v>
      </c>
      <c r="C37" s="48" t="s">
        <v>11</v>
      </c>
      <c r="D37" s="63">
        <f>'№6'!F403</f>
        <v>236.1</v>
      </c>
      <c r="E37" s="63">
        <f>'№6'!G403</f>
        <v>236.1</v>
      </c>
    </row>
    <row r="38" spans="1:5" ht="31.5">
      <c r="A38" s="14" t="s">
        <v>561</v>
      </c>
      <c r="B38" s="62" t="s">
        <v>14</v>
      </c>
      <c r="C38" s="48" t="s">
        <v>504</v>
      </c>
      <c r="D38" s="63">
        <f>'№6'!F541</f>
        <v>53.400000000000006</v>
      </c>
      <c r="E38" s="63">
        <f>'№6'!G541</f>
        <v>53.3</v>
      </c>
    </row>
    <row r="39" spans="1:5" ht="31.5">
      <c r="A39" s="14" t="s">
        <v>560</v>
      </c>
      <c r="B39" s="62" t="s">
        <v>14</v>
      </c>
      <c r="C39" s="48" t="s">
        <v>504</v>
      </c>
      <c r="D39" s="63">
        <f>'№6'!F543</f>
        <v>2776.4</v>
      </c>
      <c r="E39" s="63">
        <f>'№6'!G543</f>
        <v>2776.4</v>
      </c>
    </row>
    <row r="40" spans="1:5" ht="47.25">
      <c r="A40" s="62"/>
      <c r="B40" s="62"/>
      <c r="C40" s="44" t="s">
        <v>566</v>
      </c>
      <c r="D40" s="201">
        <f>D41</f>
        <v>485.9</v>
      </c>
      <c r="E40" s="207">
        <f aca="true" t="shared" si="12" ref="E40">E41</f>
        <v>485.9</v>
      </c>
    </row>
    <row r="41" spans="1:5" ht="12.75">
      <c r="A41" s="14" t="s">
        <v>564</v>
      </c>
      <c r="B41" s="62" t="s">
        <v>25</v>
      </c>
      <c r="C41" s="48" t="s">
        <v>112</v>
      </c>
      <c r="D41" s="63">
        <f>'№6'!F282</f>
        <v>485.9</v>
      </c>
      <c r="E41" s="63">
        <f>'№6'!G282</f>
        <v>485.9</v>
      </c>
    </row>
    <row r="42" spans="1:5" ht="12.75">
      <c r="A42" s="63"/>
      <c r="B42" s="63"/>
      <c r="C42" s="44" t="s">
        <v>578</v>
      </c>
      <c r="D42" s="201">
        <f>D43</f>
        <v>1784.1</v>
      </c>
      <c r="E42" s="207">
        <f aca="true" t="shared" si="13" ref="E42">E43</f>
        <v>1784.1</v>
      </c>
    </row>
    <row r="43" spans="1:5" ht="31.5">
      <c r="A43" s="205" t="s">
        <v>567</v>
      </c>
      <c r="B43" s="62" t="s">
        <v>7</v>
      </c>
      <c r="C43" s="48" t="s">
        <v>11</v>
      </c>
      <c r="D43" s="63">
        <f>'№6'!F431</f>
        <v>1784.1</v>
      </c>
      <c r="E43" s="63">
        <f>'№6'!G431</f>
        <v>1784.1</v>
      </c>
    </row>
    <row r="44" spans="1:5" ht="35.25" customHeight="1">
      <c r="A44" s="63"/>
      <c r="B44" s="63"/>
      <c r="C44" s="44" t="s">
        <v>569</v>
      </c>
      <c r="D44" s="201">
        <f>D45</f>
        <v>21150.1</v>
      </c>
      <c r="E44" s="207">
        <f aca="true" t="shared" si="14" ref="E44">E45</f>
        <v>14398.2</v>
      </c>
    </row>
    <row r="45" spans="1:5" ht="12.75">
      <c r="A45" s="40" t="s">
        <v>571</v>
      </c>
      <c r="B45" s="62" t="s">
        <v>25</v>
      </c>
      <c r="C45" s="48" t="s">
        <v>112</v>
      </c>
      <c r="D45" s="63">
        <f>'№6'!F105</f>
        <v>21150.1</v>
      </c>
      <c r="E45" s="63">
        <f>'№6'!G105</f>
        <v>14398.2</v>
      </c>
    </row>
    <row r="46" spans="1:5" ht="47.25" customHeight="1">
      <c r="A46" s="63"/>
      <c r="B46" s="63"/>
      <c r="C46" s="44" t="s">
        <v>579</v>
      </c>
      <c r="D46" s="201">
        <f>D47</f>
        <v>36095.4</v>
      </c>
      <c r="E46" s="207">
        <f aca="true" t="shared" si="15" ref="E46">E47</f>
        <v>30537.6</v>
      </c>
    </row>
    <row r="47" spans="1:5" ht="12.75">
      <c r="A47" s="203" t="s">
        <v>570</v>
      </c>
      <c r="B47" s="74" t="s">
        <v>25</v>
      </c>
      <c r="C47" s="75" t="s">
        <v>112</v>
      </c>
      <c r="D47" s="204">
        <f>'№6'!F115</f>
        <v>36095.4</v>
      </c>
      <c r="E47" s="204">
        <f>'№6'!G115</f>
        <v>30537.6</v>
      </c>
    </row>
    <row r="48" spans="1:5" ht="47.25">
      <c r="A48" s="63"/>
      <c r="B48" s="63"/>
      <c r="C48" s="44" t="s">
        <v>580</v>
      </c>
      <c r="D48" s="201">
        <f>D49</f>
        <v>2467.2</v>
      </c>
      <c r="E48" s="207">
        <f aca="true" t="shared" si="16" ref="E48">E49</f>
        <v>2234.7</v>
      </c>
    </row>
    <row r="49" spans="1:5" ht="31.5">
      <c r="A49" s="53" t="s">
        <v>581</v>
      </c>
      <c r="B49" s="62" t="s">
        <v>7</v>
      </c>
      <c r="C49" s="48" t="s">
        <v>11</v>
      </c>
      <c r="D49" s="63">
        <f>'№6'!F448</f>
        <v>2467.2</v>
      </c>
      <c r="E49" s="63">
        <f>'№6'!G448</f>
        <v>2234.7</v>
      </c>
    </row>
    <row r="50" spans="1:5" ht="78.75">
      <c r="A50" s="63"/>
      <c r="B50" s="63"/>
      <c r="C50" s="44" t="s">
        <v>583</v>
      </c>
      <c r="D50" s="207">
        <f>D51</f>
        <v>205.9</v>
      </c>
      <c r="E50" s="207">
        <f aca="true" t="shared" si="17" ref="E50">E51</f>
        <v>205.9</v>
      </c>
    </row>
    <row r="51" spans="1:5" ht="31.5">
      <c r="A51" s="53" t="s">
        <v>584</v>
      </c>
      <c r="B51" s="62" t="s">
        <v>14</v>
      </c>
      <c r="C51" s="48" t="s">
        <v>504</v>
      </c>
      <c r="D51" s="63">
        <f>'№6'!F492</f>
        <v>205.9</v>
      </c>
      <c r="E51" s="63">
        <f>'№6'!G492</f>
        <v>205.9</v>
      </c>
    </row>
    <row r="52" spans="1:5" ht="47.25">
      <c r="A52" s="63"/>
      <c r="B52" s="63"/>
      <c r="C52" s="44" t="s">
        <v>586</v>
      </c>
      <c r="D52" s="207">
        <f>D53</f>
        <v>2855.7</v>
      </c>
      <c r="E52" s="207">
        <f aca="true" t="shared" si="18" ref="E52">E53</f>
        <v>2855.7</v>
      </c>
    </row>
    <row r="53" spans="1:5" ht="31.5">
      <c r="A53" s="14" t="s">
        <v>585</v>
      </c>
      <c r="B53" s="62" t="s">
        <v>14</v>
      </c>
      <c r="C53" s="48" t="s">
        <v>504</v>
      </c>
      <c r="D53" s="63">
        <f>'№6'!F478</f>
        <v>2855.7</v>
      </c>
      <c r="E53" s="63">
        <f>'№6'!G478</f>
        <v>2855.7</v>
      </c>
    </row>
    <row r="54" spans="1:5" ht="31.5">
      <c r="A54" s="63"/>
      <c r="B54" s="63"/>
      <c r="C54" s="44" t="s">
        <v>600</v>
      </c>
      <c r="D54" s="207">
        <f>D55+D56</f>
        <v>600</v>
      </c>
      <c r="E54" s="207">
        <f aca="true" t="shared" si="19" ref="E54">E55+E56</f>
        <v>579</v>
      </c>
    </row>
    <row r="55" spans="1:5" ht="31.5">
      <c r="A55" s="53" t="s">
        <v>596</v>
      </c>
      <c r="B55" s="62" t="s">
        <v>7</v>
      </c>
      <c r="C55" s="48" t="s">
        <v>11</v>
      </c>
      <c r="D55" s="208">
        <f>'№6'!F382</f>
        <v>300</v>
      </c>
      <c r="E55" s="208">
        <f>'№6'!G382</f>
        <v>286.5</v>
      </c>
    </row>
    <row r="56" spans="1:5" ht="31.5">
      <c r="A56" s="62" t="s">
        <v>598</v>
      </c>
      <c r="B56" s="62" t="s">
        <v>14</v>
      </c>
      <c r="C56" s="48" t="s">
        <v>504</v>
      </c>
      <c r="D56" s="208">
        <f>'№6'!F521</f>
        <v>300</v>
      </c>
      <c r="E56" s="208">
        <f>'№6'!G521</f>
        <v>292.5</v>
      </c>
    </row>
    <row r="57" spans="1:5" ht="47.25">
      <c r="A57" s="63"/>
      <c r="B57" s="63"/>
      <c r="C57" s="44" t="s">
        <v>601</v>
      </c>
      <c r="D57" s="207">
        <f>D58+D59+D60</f>
        <v>950</v>
      </c>
      <c r="E57" s="207">
        <f aca="true" t="shared" si="20" ref="E57">E58+E59+E60</f>
        <v>950</v>
      </c>
    </row>
    <row r="58" spans="1:5" ht="12.75">
      <c r="A58" s="63" t="s">
        <v>603</v>
      </c>
      <c r="B58" s="62" t="s">
        <v>25</v>
      </c>
      <c r="C58" s="48" t="s">
        <v>112</v>
      </c>
      <c r="D58" s="63">
        <f>'№6'!F249</f>
        <v>569.6</v>
      </c>
      <c r="E58" s="63">
        <f>'№6'!G249</f>
        <v>569.6</v>
      </c>
    </row>
    <row r="59" spans="1:5" ht="31.5">
      <c r="A59" s="63" t="s">
        <v>603</v>
      </c>
      <c r="B59" s="62" t="s">
        <v>7</v>
      </c>
      <c r="C59" s="48" t="s">
        <v>11</v>
      </c>
      <c r="D59" s="206">
        <f>'№6'!F395</f>
        <v>50</v>
      </c>
      <c r="E59" s="206">
        <f>'№6'!G395</f>
        <v>50</v>
      </c>
    </row>
    <row r="60" spans="1:5" ht="31.5">
      <c r="A60" s="63" t="s">
        <v>603</v>
      </c>
      <c r="B60" s="62" t="s">
        <v>14</v>
      </c>
      <c r="C60" s="48" t="s">
        <v>504</v>
      </c>
      <c r="D60" s="63">
        <f>'№6'!F479+'№6'!F512+'№6'!F532</f>
        <v>330.4</v>
      </c>
      <c r="E60" s="63">
        <f>'№6'!G479+'№6'!G512+'№6'!G532</f>
        <v>330.4</v>
      </c>
    </row>
    <row r="61" spans="1:5" ht="47.25">
      <c r="A61" s="63"/>
      <c r="B61" s="62"/>
      <c r="C61" s="44" t="s">
        <v>618</v>
      </c>
      <c r="D61" s="207">
        <f>D62</f>
        <v>99</v>
      </c>
      <c r="E61" s="207">
        <f aca="true" t="shared" si="21" ref="E61">E62</f>
        <v>99</v>
      </c>
    </row>
    <row r="62" spans="1:5" ht="12.75">
      <c r="A62" s="62" t="s">
        <v>619</v>
      </c>
      <c r="B62" s="62" t="s">
        <v>25</v>
      </c>
      <c r="C62" s="48" t="s">
        <v>112</v>
      </c>
      <c r="D62" s="206">
        <f>'№6'!F230</f>
        <v>99</v>
      </c>
      <c r="E62" s="206">
        <f>'№6'!G230</f>
        <v>99</v>
      </c>
    </row>
    <row r="63" spans="1:5" ht="31.5">
      <c r="A63" s="63"/>
      <c r="B63" s="63"/>
      <c r="C63" s="44" t="s">
        <v>606</v>
      </c>
      <c r="D63" s="207">
        <f>D65+D64</f>
        <v>3403.3</v>
      </c>
      <c r="E63" s="207">
        <f aca="true" t="shared" si="22" ref="E63">E65+E64</f>
        <v>3282.2</v>
      </c>
    </row>
    <row r="64" spans="1:5" ht="12.75">
      <c r="A64" s="53" t="s">
        <v>612</v>
      </c>
      <c r="B64" s="62" t="s">
        <v>25</v>
      </c>
      <c r="C64" s="48" t="s">
        <v>112</v>
      </c>
      <c r="D64" s="206">
        <f>'№6'!F213</f>
        <v>1934.1</v>
      </c>
      <c r="E64" s="206">
        <f>'№6'!G213</f>
        <v>1813</v>
      </c>
    </row>
    <row r="65" spans="1:5" ht="12.75">
      <c r="A65" s="62" t="s">
        <v>614</v>
      </c>
      <c r="B65" s="62" t="s">
        <v>25</v>
      </c>
      <c r="C65" s="48" t="s">
        <v>112</v>
      </c>
      <c r="D65" s="206">
        <f>'№6'!F232</f>
        <v>1469.2</v>
      </c>
      <c r="E65" s="206">
        <f>'№6'!G232</f>
        <v>1469.2</v>
      </c>
    </row>
    <row r="66" spans="1:5" ht="47.25">
      <c r="A66" s="63"/>
      <c r="B66" s="63"/>
      <c r="C66" s="44" t="s">
        <v>607</v>
      </c>
      <c r="D66" s="207">
        <f>SUM(D67:D69)</f>
        <v>5488.5</v>
      </c>
      <c r="E66" s="207">
        <f aca="true" t="shared" si="23" ref="E66">SUM(E67:E69)</f>
        <v>4281.1</v>
      </c>
    </row>
    <row r="67" spans="1:5" ht="12.75">
      <c r="A67" s="69" t="s">
        <v>611</v>
      </c>
      <c r="B67" s="62" t="s">
        <v>25</v>
      </c>
      <c r="C67" s="48" t="s">
        <v>112</v>
      </c>
      <c r="D67" s="206">
        <f>'№6'!F194</f>
        <v>1554.4</v>
      </c>
      <c r="E67" s="206">
        <f>'№6'!G194</f>
        <v>1554.4</v>
      </c>
    </row>
    <row r="68" spans="1:5" ht="31.5">
      <c r="A68" s="53" t="s">
        <v>610</v>
      </c>
      <c r="B68" s="62" t="s">
        <v>7</v>
      </c>
      <c r="C68" s="48" t="s">
        <v>11</v>
      </c>
      <c r="D68" s="206">
        <f>'№6'!F384</f>
        <v>1174</v>
      </c>
      <c r="E68" s="206">
        <f>'№6'!G384</f>
        <v>1173.9</v>
      </c>
    </row>
    <row r="69" spans="1:5" ht="31.5">
      <c r="A69" s="63" t="s">
        <v>609</v>
      </c>
      <c r="B69" s="62" t="s">
        <v>14</v>
      </c>
      <c r="C69" s="48" t="s">
        <v>504</v>
      </c>
      <c r="D69" s="206">
        <f>'№6'!F523</f>
        <v>2760.1</v>
      </c>
      <c r="E69" s="206">
        <f>'№6'!G523</f>
        <v>1552.8</v>
      </c>
    </row>
    <row r="70" spans="1:5" ht="47.25">
      <c r="A70" s="63"/>
      <c r="B70" s="63"/>
      <c r="C70" s="44" t="s">
        <v>653</v>
      </c>
      <c r="D70" s="207">
        <f>D71</f>
        <v>252.3</v>
      </c>
      <c r="E70" s="207">
        <f aca="true" t="shared" si="24" ref="E70">E71</f>
        <v>252.3</v>
      </c>
    </row>
    <row r="71" spans="1:5" ht="12.75">
      <c r="A71" s="62" t="s">
        <v>654</v>
      </c>
      <c r="B71" s="62" t="s">
        <v>25</v>
      </c>
      <c r="C71" s="48" t="s">
        <v>112</v>
      </c>
      <c r="D71" s="63">
        <f>'№6'!F241</f>
        <v>252.3</v>
      </c>
      <c r="E71" s="63">
        <f>'№6'!G241</f>
        <v>252.3</v>
      </c>
    </row>
  </sheetData>
  <mergeCells count="10">
    <mergeCell ref="C1:E1"/>
    <mergeCell ref="C2:E2"/>
    <mergeCell ref="C3:E3"/>
    <mergeCell ref="A4:D4"/>
    <mergeCell ref="A6:A8"/>
    <mergeCell ref="B6:B8"/>
    <mergeCell ref="C6:C8"/>
    <mergeCell ref="D6:D8"/>
    <mergeCell ref="E6:E8"/>
    <mergeCell ref="A5:E5"/>
  </mergeCells>
  <printOptions/>
  <pageMargins left="0.5905511811023623" right="0.1968503937007874" top="0" bottom="0" header="0.31496062992125984" footer="0.31496062992125984"/>
  <pageSetup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I10"/>
  <sheetViews>
    <sheetView workbookViewId="0" topLeftCell="A1">
      <selection activeCell="A2" sqref="A2:I2"/>
    </sheetView>
  </sheetViews>
  <sheetFormatPr defaultColWidth="8.875" defaultRowHeight="12.75"/>
  <cols>
    <col min="1" max="1" width="33.125" style="37" customWidth="1"/>
    <col min="2" max="2" width="10.75390625" style="37" customWidth="1"/>
    <col min="3" max="3" width="13.375" style="37" customWidth="1"/>
    <col min="4" max="4" width="10.25390625" style="37" customWidth="1"/>
    <col min="5" max="5" width="30.625" style="37" customWidth="1"/>
    <col min="6" max="6" width="6.25390625" style="37" customWidth="1"/>
    <col min="7" max="7" width="15.00390625" style="37" customWidth="1"/>
    <col min="8" max="8" width="13.875" style="37" customWidth="1"/>
    <col min="9" max="9" width="13.375" style="37" customWidth="1"/>
    <col min="10" max="16384" width="8.875" style="37" customWidth="1"/>
  </cols>
  <sheetData>
    <row r="1" spans="1:9" ht="46.9" customHeight="1">
      <c r="A1" s="132" t="s">
        <v>93</v>
      </c>
      <c r="B1" s="132" t="s">
        <v>93</v>
      </c>
      <c r="C1" s="132" t="s">
        <v>93</v>
      </c>
      <c r="D1" s="132" t="s">
        <v>93</v>
      </c>
      <c r="E1" s="132" t="s">
        <v>93</v>
      </c>
      <c r="F1" s="304" t="s">
        <v>1152</v>
      </c>
      <c r="G1" s="304"/>
      <c r="H1" s="304"/>
      <c r="I1" s="304"/>
    </row>
    <row r="2" spans="1:9" ht="42" customHeight="1">
      <c r="A2" s="288" t="s">
        <v>1117</v>
      </c>
      <c r="B2" s="288"/>
      <c r="C2" s="288"/>
      <c r="D2" s="288"/>
      <c r="E2" s="288"/>
      <c r="F2" s="288"/>
      <c r="G2" s="288"/>
      <c r="H2" s="288"/>
      <c r="I2" s="288"/>
    </row>
    <row r="3" spans="1:9" ht="16.9" customHeight="1">
      <c r="A3" s="130"/>
      <c r="B3" s="130"/>
      <c r="C3" s="130"/>
      <c r="D3" s="130"/>
      <c r="E3" s="130"/>
      <c r="F3" s="130"/>
      <c r="G3" s="130"/>
      <c r="H3" s="130"/>
      <c r="I3" s="209" t="s">
        <v>1118</v>
      </c>
    </row>
    <row r="4" spans="1:9" ht="17.25" customHeight="1">
      <c r="A4" s="305" t="s">
        <v>627</v>
      </c>
      <c r="B4" s="305" t="s">
        <v>628</v>
      </c>
      <c r="C4" s="305"/>
      <c r="D4" s="305"/>
      <c r="E4" s="305"/>
      <c r="F4" s="305" t="s">
        <v>629</v>
      </c>
      <c r="G4" s="305"/>
      <c r="H4" s="303" t="s">
        <v>686</v>
      </c>
      <c r="I4" s="303" t="s">
        <v>687</v>
      </c>
    </row>
    <row r="5" spans="1:9" ht="31.5" customHeight="1">
      <c r="A5" s="305" t="s">
        <v>627</v>
      </c>
      <c r="B5" s="40" t="s">
        <v>630</v>
      </c>
      <c r="C5" s="40" t="s">
        <v>631</v>
      </c>
      <c r="D5" s="40" t="s">
        <v>632</v>
      </c>
      <c r="E5" s="40" t="s">
        <v>633</v>
      </c>
      <c r="F5" s="40" t="s">
        <v>61</v>
      </c>
      <c r="G5" s="40" t="s">
        <v>634</v>
      </c>
      <c r="H5" s="303"/>
      <c r="I5" s="303"/>
    </row>
    <row r="6" spans="1:9" ht="16.9" customHeight="1">
      <c r="A6" s="40" t="s">
        <v>6</v>
      </c>
      <c r="B6" s="40" t="s">
        <v>104</v>
      </c>
      <c r="C6" s="40" t="s">
        <v>105</v>
      </c>
      <c r="D6" s="40" t="s">
        <v>106</v>
      </c>
      <c r="E6" s="40" t="s">
        <v>107</v>
      </c>
      <c r="F6" s="40" t="s">
        <v>108</v>
      </c>
      <c r="G6" s="40" t="s">
        <v>325</v>
      </c>
      <c r="H6" s="40" t="s">
        <v>109</v>
      </c>
      <c r="I6" s="40" t="s">
        <v>110</v>
      </c>
    </row>
    <row r="7" spans="1:9" ht="68.25" customHeight="1">
      <c r="A7" s="45" t="s">
        <v>457</v>
      </c>
      <c r="B7" s="45" t="s">
        <v>635</v>
      </c>
      <c r="C7" s="210">
        <v>41451</v>
      </c>
      <c r="D7" s="40" t="s">
        <v>636</v>
      </c>
      <c r="E7" s="45" t="s">
        <v>637</v>
      </c>
      <c r="F7" s="40" t="s">
        <v>63</v>
      </c>
      <c r="G7" s="40" t="s">
        <v>456</v>
      </c>
      <c r="H7" s="46">
        <f>'№6'!F419</f>
        <v>36</v>
      </c>
      <c r="I7" s="46">
        <f>'№6'!G419</f>
        <v>36</v>
      </c>
    </row>
    <row r="8" spans="1:9" ht="142.5" customHeight="1">
      <c r="A8" s="45" t="s">
        <v>94</v>
      </c>
      <c r="B8" s="45" t="s">
        <v>635</v>
      </c>
      <c r="C8" s="40" t="s">
        <v>638</v>
      </c>
      <c r="D8" s="40" t="s">
        <v>639</v>
      </c>
      <c r="E8" s="45" t="s">
        <v>640</v>
      </c>
      <c r="F8" s="40" t="s">
        <v>80</v>
      </c>
      <c r="G8" s="40" t="s">
        <v>249</v>
      </c>
      <c r="H8" s="46">
        <f>'№6'!F255</f>
        <v>1313.3</v>
      </c>
      <c r="I8" s="46">
        <f>'№6'!G255</f>
        <v>1207.4</v>
      </c>
    </row>
    <row r="9" spans="1:9" ht="72.2" customHeight="1">
      <c r="A9" s="45" t="s">
        <v>641</v>
      </c>
      <c r="B9" s="45" t="s">
        <v>635</v>
      </c>
      <c r="C9" s="40" t="s">
        <v>642</v>
      </c>
      <c r="D9" s="40" t="s">
        <v>643</v>
      </c>
      <c r="E9" s="45" t="s">
        <v>644</v>
      </c>
      <c r="F9" s="40" t="s">
        <v>65</v>
      </c>
      <c r="G9" s="40" t="s">
        <v>252</v>
      </c>
      <c r="H9" s="46">
        <f>'№6'!F270</f>
        <v>121</v>
      </c>
      <c r="I9" s="46">
        <f>'№6'!G270</f>
        <v>113</v>
      </c>
    </row>
    <row r="10" spans="1:9" ht="14.25" customHeight="1">
      <c r="A10" s="49" t="s">
        <v>645</v>
      </c>
      <c r="B10" s="211" t="s">
        <v>93</v>
      </c>
      <c r="C10" s="211" t="s">
        <v>93</v>
      </c>
      <c r="D10" s="211" t="s">
        <v>93</v>
      </c>
      <c r="E10" s="211" t="s">
        <v>93</v>
      </c>
      <c r="F10" s="211" t="s">
        <v>93</v>
      </c>
      <c r="G10" s="211" t="s">
        <v>93</v>
      </c>
      <c r="H10" s="43">
        <f>SUM(H7:H9)</f>
        <v>1470.3</v>
      </c>
      <c r="I10" s="43">
        <f aca="true" t="shared" si="0" ref="I10">SUM(I7:I9)</f>
        <v>1356.4</v>
      </c>
    </row>
  </sheetData>
  <mergeCells count="7">
    <mergeCell ref="H4:H5"/>
    <mergeCell ref="I4:I5"/>
    <mergeCell ref="F1:I1"/>
    <mergeCell ref="A2:I2"/>
    <mergeCell ref="A4:A5"/>
    <mergeCell ref="B4:E4"/>
    <mergeCell ref="F4:G4"/>
  </mergeCells>
  <printOptions/>
  <pageMargins left="0.5905511811023623" right="0.1968503937007874" top="0.7874015748031497" bottom="0.1968503937007874" header="0.31496062992125984" footer="0.31496062992125984"/>
  <pageSetup fitToHeight="0"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L20"/>
  <sheetViews>
    <sheetView zoomScaleSheetLayoutView="100" workbookViewId="0" topLeftCell="A1">
      <selection activeCell="B25" sqref="B25"/>
    </sheetView>
  </sheetViews>
  <sheetFormatPr defaultColWidth="9.125" defaultRowHeight="12.75"/>
  <cols>
    <col min="1" max="1" width="8.125" style="213" customWidth="1"/>
    <col min="2" max="2" width="33.625" style="212" customWidth="1"/>
    <col min="3" max="3" width="17.75390625" style="212" customWidth="1"/>
    <col min="4" max="4" width="9.625" style="213" customWidth="1"/>
    <col min="5" max="5" width="11.75390625" style="213" customWidth="1"/>
    <col min="6" max="6" width="13.125" style="213" customWidth="1"/>
    <col min="7" max="7" width="9.125" style="214" customWidth="1"/>
    <col min="8" max="8" width="9.25390625" style="213" bestFit="1" customWidth="1"/>
    <col min="9" max="9" width="12.125" style="213" customWidth="1"/>
    <col min="10" max="10" width="12.75390625" style="213" customWidth="1"/>
    <col min="11" max="11" width="9.375" style="214" customWidth="1"/>
    <col min="12" max="12" width="14.875" style="213" customWidth="1"/>
    <col min="13" max="252" width="9.125" style="212" customWidth="1"/>
    <col min="253" max="253" width="5.625" style="212" customWidth="1"/>
    <col min="254" max="254" width="33.625" style="212" customWidth="1"/>
    <col min="255" max="255" width="15.625" style="212" customWidth="1"/>
    <col min="256" max="256" width="9.625" style="212" customWidth="1"/>
    <col min="257" max="257" width="11.75390625" style="212" customWidth="1"/>
    <col min="258" max="258" width="13.125" style="212" customWidth="1"/>
    <col min="259" max="259" width="9.125" style="212" customWidth="1"/>
    <col min="260" max="260" width="9.25390625" style="212" bestFit="1" customWidth="1"/>
    <col min="261" max="261" width="12.125" style="212" customWidth="1"/>
    <col min="262" max="262" width="12.75390625" style="212" customWidth="1"/>
    <col min="263" max="263" width="9.375" style="212" customWidth="1"/>
    <col min="264" max="264" width="9.25390625" style="212" bestFit="1" customWidth="1"/>
    <col min="265" max="265" width="13.125" style="212" customWidth="1"/>
    <col min="266" max="266" width="13.625" style="212" customWidth="1"/>
    <col min="267" max="267" width="9.625" style="212" customWidth="1"/>
    <col min="268" max="268" width="14.875" style="212" customWidth="1"/>
    <col min="269" max="508" width="9.125" style="212" customWidth="1"/>
    <col min="509" max="509" width="5.625" style="212" customWidth="1"/>
    <col min="510" max="510" width="33.625" style="212" customWidth="1"/>
    <col min="511" max="511" width="15.625" style="212" customWidth="1"/>
    <col min="512" max="512" width="9.625" style="212" customWidth="1"/>
    <col min="513" max="513" width="11.75390625" style="212" customWidth="1"/>
    <col min="514" max="514" width="13.125" style="212" customWidth="1"/>
    <col min="515" max="515" width="9.125" style="212" customWidth="1"/>
    <col min="516" max="516" width="9.25390625" style="212" bestFit="1" customWidth="1"/>
    <col min="517" max="517" width="12.125" style="212" customWidth="1"/>
    <col min="518" max="518" width="12.75390625" style="212" customWidth="1"/>
    <col min="519" max="519" width="9.375" style="212" customWidth="1"/>
    <col min="520" max="520" width="9.25390625" style="212" bestFit="1" customWidth="1"/>
    <col min="521" max="521" width="13.125" style="212" customWidth="1"/>
    <col min="522" max="522" width="13.625" style="212" customWidth="1"/>
    <col min="523" max="523" width="9.625" style="212" customWidth="1"/>
    <col min="524" max="524" width="14.875" style="212" customWidth="1"/>
    <col min="525" max="764" width="9.125" style="212" customWidth="1"/>
    <col min="765" max="765" width="5.625" style="212" customWidth="1"/>
    <col min="766" max="766" width="33.625" style="212" customWidth="1"/>
    <col min="767" max="767" width="15.625" style="212" customWidth="1"/>
    <col min="768" max="768" width="9.625" style="212" customWidth="1"/>
    <col min="769" max="769" width="11.75390625" style="212" customWidth="1"/>
    <col min="770" max="770" width="13.125" style="212" customWidth="1"/>
    <col min="771" max="771" width="9.125" style="212" customWidth="1"/>
    <col min="772" max="772" width="9.25390625" style="212" bestFit="1" customWidth="1"/>
    <col min="773" max="773" width="12.125" style="212" customWidth="1"/>
    <col min="774" max="774" width="12.75390625" style="212" customWidth="1"/>
    <col min="775" max="775" width="9.375" style="212" customWidth="1"/>
    <col min="776" max="776" width="9.25390625" style="212" bestFit="1" customWidth="1"/>
    <col min="777" max="777" width="13.125" style="212" customWidth="1"/>
    <col min="778" max="778" width="13.625" style="212" customWidth="1"/>
    <col min="779" max="779" width="9.625" style="212" customWidth="1"/>
    <col min="780" max="780" width="14.875" style="212" customWidth="1"/>
    <col min="781" max="1020" width="9.125" style="212" customWidth="1"/>
    <col min="1021" max="1021" width="5.625" style="212" customWidth="1"/>
    <col min="1022" max="1022" width="33.625" style="212" customWidth="1"/>
    <col min="1023" max="1023" width="15.625" style="212" customWidth="1"/>
    <col min="1024" max="1024" width="9.625" style="212" customWidth="1"/>
    <col min="1025" max="1025" width="11.75390625" style="212" customWidth="1"/>
    <col min="1026" max="1026" width="13.125" style="212" customWidth="1"/>
    <col min="1027" max="1027" width="9.125" style="212" customWidth="1"/>
    <col min="1028" max="1028" width="9.25390625" style="212" bestFit="1" customWidth="1"/>
    <col min="1029" max="1029" width="12.125" style="212" customWidth="1"/>
    <col min="1030" max="1030" width="12.75390625" style="212" customWidth="1"/>
    <col min="1031" max="1031" width="9.375" style="212" customWidth="1"/>
    <col min="1032" max="1032" width="9.25390625" style="212" bestFit="1" customWidth="1"/>
    <col min="1033" max="1033" width="13.125" style="212" customWidth="1"/>
    <col min="1034" max="1034" width="13.625" style="212" customWidth="1"/>
    <col min="1035" max="1035" width="9.625" style="212" customWidth="1"/>
    <col min="1036" max="1036" width="14.875" style="212" customWidth="1"/>
    <col min="1037" max="1276" width="9.125" style="212" customWidth="1"/>
    <col min="1277" max="1277" width="5.625" style="212" customWidth="1"/>
    <col min="1278" max="1278" width="33.625" style="212" customWidth="1"/>
    <col min="1279" max="1279" width="15.625" style="212" customWidth="1"/>
    <col min="1280" max="1280" width="9.625" style="212" customWidth="1"/>
    <col min="1281" max="1281" width="11.75390625" style="212" customWidth="1"/>
    <col min="1282" max="1282" width="13.125" style="212" customWidth="1"/>
    <col min="1283" max="1283" width="9.125" style="212" customWidth="1"/>
    <col min="1284" max="1284" width="9.25390625" style="212" bestFit="1" customWidth="1"/>
    <col min="1285" max="1285" width="12.125" style="212" customWidth="1"/>
    <col min="1286" max="1286" width="12.75390625" style="212" customWidth="1"/>
    <col min="1287" max="1287" width="9.375" style="212" customWidth="1"/>
    <col min="1288" max="1288" width="9.25390625" style="212" bestFit="1" customWidth="1"/>
    <col min="1289" max="1289" width="13.125" style="212" customWidth="1"/>
    <col min="1290" max="1290" width="13.625" style="212" customWidth="1"/>
    <col min="1291" max="1291" width="9.625" style="212" customWidth="1"/>
    <col min="1292" max="1292" width="14.875" style="212" customWidth="1"/>
    <col min="1293" max="1532" width="9.125" style="212" customWidth="1"/>
    <col min="1533" max="1533" width="5.625" style="212" customWidth="1"/>
    <col min="1534" max="1534" width="33.625" style="212" customWidth="1"/>
    <col min="1535" max="1535" width="15.625" style="212" customWidth="1"/>
    <col min="1536" max="1536" width="9.625" style="212" customWidth="1"/>
    <col min="1537" max="1537" width="11.75390625" style="212" customWidth="1"/>
    <col min="1538" max="1538" width="13.125" style="212" customWidth="1"/>
    <col min="1539" max="1539" width="9.125" style="212" customWidth="1"/>
    <col min="1540" max="1540" width="9.25390625" style="212" bestFit="1" customWidth="1"/>
    <col min="1541" max="1541" width="12.125" style="212" customWidth="1"/>
    <col min="1542" max="1542" width="12.75390625" style="212" customWidth="1"/>
    <col min="1543" max="1543" width="9.375" style="212" customWidth="1"/>
    <col min="1544" max="1544" width="9.25390625" style="212" bestFit="1" customWidth="1"/>
    <col min="1545" max="1545" width="13.125" style="212" customWidth="1"/>
    <col min="1546" max="1546" width="13.625" style="212" customWidth="1"/>
    <col min="1547" max="1547" width="9.625" style="212" customWidth="1"/>
    <col min="1548" max="1548" width="14.875" style="212" customWidth="1"/>
    <col min="1549" max="1788" width="9.125" style="212" customWidth="1"/>
    <col min="1789" max="1789" width="5.625" style="212" customWidth="1"/>
    <col min="1790" max="1790" width="33.625" style="212" customWidth="1"/>
    <col min="1791" max="1791" width="15.625" style="212" customWidth="1"/>
    <col min="1792" max="1792" width="9.625" style="212" customWidth="1"/>
    <col min="1793" max="1793" width="11.75390625" style="212" customWidth="1"/>
    <col min="1794" max="1794" width="13.125" style="212" customWidth="1"/>
    <col min="1795" max="1795" width="9.125" style="212" customWidth="1"/>
    <col min="1796" max="1796" width="9.25390625" style="212" bestFit="1" customWidth="1"/>
    <col min="1797" max="1797" width="12.125" style="212" customWidth="1"/>
    <col min="1798" max="1798" width="12.75390625" style="212" customWidth="1"/>
    <col min="1799" max="1799" width="9.375" style="212" customWidth="1"/>
    <col min="1800" max="1800" width="9.25390625" style="212" bestFit="1" customWidth="1"/>
    <col min="1801" max="1801" width="13.125" style="212" customWidth="1"/>
    <col min="1802" max="1802" width="13.625" style="212" customWidth="1"/>
    <col min="1803" max="1803" width="9.625" style="212" customWidth="1"/>
    <col min="1804" max="1804" width="14.875" style="212" customWidth="1"/>
    <col min="1805" max="2044" width="9.125" style="212" customWidth="1"/>
    <col min="2045" max="2045" width="5.625" style="212" customWidth="1"/>
    <col min="2046" max="2046" width="33.625" style="212" customWidth="1"/>
    <col min="2047" max="2047" width="15.625" style="212" customWidth="1"/>
    <col min="2048" max="2048" width="9.625" style="212" customWidth="1"/>
    <col min="2049" max="2049" width="11.75390625" style="212" customWidth="1"/>
    <col min="2050" max="2050" width="13.125" style="212" customWidth="1"/>
    <col min="2051" max="2051" width="9.125" style="212" customWidth="1"/>
    <col min="2052" max="2052" width="9.25390625" style="212" bestFit="1" customWidth="1"/>
    <col min="2053" max="2053" width="12.125" style="212" customWidth="1"/>
    <col min="2054" max="2054" width="12.75390625" style="212" customWidth="1"/>
    <col min="2055" max="2055" width="9.375" style="212" customWidth="1"/>
    <col min="2056" max="2056" width="9.25390625" style="212" bestFit="1" customWidth="1"/>
    <col min="2057" max="2057" width="13.125" style="212" customWidth="1"/>
    <col min="2058" max="2058" width="13.625" style="212" customWidth="1"/>
    <col min="2059" max="2059" width="9.625" style="212" customWidth="1"/>
    <col min="2060" max="2060" width="14.875" style="212" customWidth="1"/>
    <col min="2061" max="2300" width="9.125" style="212" customWidth="1"/>
    <col min="2301" max="2301" width="5.625" style="212" customWidth="1"/>
    <col min="2302" max="2302" width="33.625" style="212" customWidth="1"/>
    <col min="2303" max="2303" width="15.625" style="212" customWidth="1"/>
    <col min="2304" max="2304" width="9.625" style="212" customWidth="1"/>
    <col min="2305" max="2305" width="11.75390625" style="212" customWidth="1"/>
    <col min="2306" max="2306" width="13.125" style="212" customWidth="1"/>
    <col min="2307" max="2307" width="9.125" style="212" customWidth="1"/>
    <col min="2308" max="2308" width="9.25390625" style="212" bestFit="1" customWidth="1"/>
    <col min="2309" max="2309" width="12.125" style="212" customWidth="1"/>
    <col min="2310" max="2310" width="12.75390625" style="212" customWidth="1"/>
    <col min="2311" max="2311" width="9.375" style="212" customWidth="1"/>
    <col min="2312" max="2312" width="9.25390625" style="212" bestFit="1" customWidth="1"/>
    <col min="2313" max="2313" width="13.125" style="212" customWidth="1"/>
    <col min="2314" max="2314" width="13.625" style="212" customWidth="1"/>
    <col min="2315" max="2315" width="9.625" style="212" customWidth="1"/>
    <col min="2316" max="2316" width="14.875" style="212" customWidth="1"/>
    <col min="2317" max="2556" width="9.125" style="212" customWidth="1"/>
    <col min="2557" max="2557" width="5.625" style="212" customWidth="1"/>
    <col min="2558" max="2558" width="33.625" style="212" customWidth="1"/>
    <col min="2559" max="2559" width="15.625" style="212" customWidth="1"/>
    <col min="2560" max="2560" width="9.625" style="212" customWidth="1"/>
    <col min="2561" max="2561" width="11.75390625" style="212" customWidth="1"/>
    <col min="2562" max="2562" width="13.125" style="212" customWidth="1"/>
    <col min="2563" max="2563" width="9.125" style="212" customWidth="1"/>
    <col min="2564" max="2564" width="9.25390625" style="212" bestFit="1" customWidth="1"/>
    <col min="2565" max="2565" width="12.125" style="212" customWidth="1"/>
    <col min="2566" max="2566" width="12.75390625" style="212" customWidth="1"/>
    <col min="2567" max="2567" width="9.375" style="212" customWidth="1"/>
    <col min="2568" max="2568" width="9.25390625" style="212" bestFit="1" customWidth="1"/>
    <col min="2569" max="2569" width="13.125" style="212" customWidth="1"/>
    <col min="2570" max="2570" width="13.625" style="212" customWidth="1"/>
    <col min="2571" max="2571" width="9.625" style="212" customWidth="1"/>
    <col min="2572" max="2572" width="14.875" style="212" customWidth="1"/>
    <col min="2573" max="2812" width="9.125" style="212" customWidth="1"/>
    <col min="2813" max="2813" width="5.625" style="212" customWidth="1"/>
    <col min="2814" max="2814" width="33.625" style="212" customWidth="1"/>
    <col min="2815" max="2815" width="15.625" style="212" customWidth="1"/>
    <col min="2816" max="2816" width="9.625" style="212" customWidth="1"/>
    <col min="2817" max="2817" width="11.75390625" style="212" customWidth="1"/>
    <col min="2818" max="2818" width="13.125" style="212" customWidth="1"/>
    <col min="2819" max="2819" width="9.125" style="212" customWidth="1"/>
    <col min="2820" max="2820" width="9.25390625" style="212" bestFit="1" customWidth="1"/>
    <col min="2821" max="2821" width="12.125" style="212" customWidth="1"/>
    <col min="2822" max="2822" width="12.75390625" style="212" customWidth="1"/>
    <col min="2823" max="2823" width="9.375" style="212" customWidth="1"/>
    <col min="2824" max="2824" width="9.25390625" style="212" bestFit="1" customWidth="1"/>
    <col min="2825" max="2825" width="13.125" style="212" customWidth="1"/>
    <col min="2826" max="2826" width="13.625" style="212" customWidth="1"/>
    <col min="2827" max="2827" width="9.625" style="212" customWidth="1"/>
    <col min="2828" max="2828" width="14.875" style="212" customWidth="1"/>
    <col min="2829" max="3068" width="9.125" style="212" customWidth="1"/>
    <col min="3069" max="3069" width="5.625" style="212" customWidth="1"/>
    <col min="3070" max="3070" width="33.625" style="212" customWidth="1"/>
    <col min="3071" max="3071" width="15.625" style="212" customWidth="1"/>
    <col min="3072" max="3072" width="9.625" style="212" customWidth="1"/>
    <col min="3073" max="3073" width="11.75390625" style="212" customWidth="1"/>
    <col min="3074" max="3074" width="13.125" style="212" customWidth="1"/>
    <col min="3075" max="3075" width="9.125" style="212" customWidth="1"/>
    <col min="3076" max="3076" width="9.25390625" style="212" bestFit="1" customWidth="1"/>
    <col min="3077" max="3077" width="12.125" style="212" customWidth="1"/>
    <col min="3078" max="3078" width="12.75390625" style="212" customWidth="1"/>
    <col min="3079" max="3079" width="9.375" style="212" customWidth="1"/>
    <col min="3080" max="3080" width="9.25390625" style="212" bestFit="1" customWidth="1"/>
    <col min="3081" max="3081" width="13.125" style="212" customWidth="1"/>
    <col min="3082" max="3082" width="13.625" style="212" customWidth="1"/>
    <col min="3083" max="3083" width="9.625" style="212" customWidth="1"/>
    <col min="3084" max="3084" width="14.875" style="212" customWidth="1"/>
    <col min="3085" max="3324" width="9.125" style="212" customWidth="1"/>
    <col min="3325" max="3325" width="5.625" style="212" customWidth="1"/>
    <col min="3326" max="3326" width="33.625" style="212" customWidth="1"/>
    <col min="3327" max="3327" width="15.625" style="212" customWidth="1"/>
    <col min="3328" max="3328" width="9.625" style="212" customWidth="1"/>
    <col min="3329" max="3329" width="11.75390625" style="212" customWidth="1"/>
    <col min="3330" max="3330" width="13.125" style="212" customWidth="1"/>
    <col min="3331" max="3331" width="9.125" style="212" customWidth="1"/>
    <col min="3332" max="3332" width="9.25390625" style="212" bestFit="1" customWidth="1"/>
    <col min="3333" max="3333" width="12.125" style="212" customWidth="1"/>
    <col min="3334" max="3334" width="12.75390625" style="212" customWidth="1"/>
    <col min="3335" max="3335" width="9.375" style="212" customWidth="1"/>
    <col min="3336" max="3336" width="9.25390625" style="212" bestFit="1" customWidth="1"/>
    <col min="3337" max="3337" width="13.125" style="212" customWidth="1"/>
    <col min="3338" max="3338" width="13.625" style="212" customWidth="1"/>
    <col min="3339" max="3339" width="9.625" style="212" customWidth="1"/>
    <col min="3340" max="3340" width="14.875" style="212" customWidth="1"/>
    <col min="3341" max="3580" width="9.125" style="212" customWidth="1"/>
    <col min="3581" max="3581" width="5.625" style="212" customWidth="1"/>
    <col min="3582" max="3582" width="33.625" style="212" customWidth="1"/>
    <col min="3583" max="3583" width="15.625" style="212" customWidth="1"/>
    <col min="3584" max="3584" width="9.625" style="212" customWidth="1"/>
    <col min="3585" max="3585" width="11.75390625" style="212" customWidth="1"/>
    <col min="3586" max="3586" width="13.125" style="212" customWidth="1"/>
    <col min="3587" max="3587" width="9.125" style="212" customWidth="1"/>
    <col min="3588" max="3588" width="9.25390625" style="212" bestFit="1" customWidth="1"/>
    <col min="3589" max="3589" width="12.125" style="212" customWidth="1"/>
    <col min="3590" max="3590" width="12.75390625" style="212" customWidth="1"/>
    <col min="3591" max="3591" width="9.375" style="212" customWidth="1"/>
    <col min="3592" max="3592" width="9.25390625" style="212" bestFit="1" customWidth="1"/>
    <col min="3593" max="3593" width="13.125" style="212" customWidth="1"/>
    <col min="3594" max="3594" width="13.625" style="212" customWidth="1"/>
    <col min="3595" max="3595" width="9.625" style="212" customWidth="1"/>
    <col min="3596" max="3596" width="14.875" style="212" customWidth="1"/>
    <col min="3597" max="3836" width="9.125" style="212" customWidth="1"/>
    <col min="3837" max="3837" width="5.625" style="212" customWidth="1"/>
    <col min="3838" max="3838" width="33.625" style="212" customWidth="1"/>
    <col min="3839" max="3839" width="15.625" style="212" customWidth="1"/>
    <col min="3840" max="3840" width="9.625" style="212" customWidth="1"/>
    <col min="3841" max="3841" width="11.75390625" style="212" customWidth="1"/>
    <col min="3842" max="3842" width="13.125" style="212" customWidth="1"/>
    <col min="3843" max="3843" width="9.125" style="212" customWidth="1"/>
    <col min="3844" max="3844" width="9.25390625" style="212" bestFit="1" customWidth="1"/>
    <col min="3845" max="3845" width="12.125" style="212" customWidth="1"/>
    <col min="3846" max="3846" width="12.75390625" style="212" customWidth="1"/>
    <col min="3847" max="3847" width="9.375" style="212" customWidth="1"/>
    <col min="3848" max="3848" width="9.25390625" style="212" bestFit="1" customWidth="1"/>
    <col min="3849" max="3849" width="13.125" style="212" customWidth="1"/>
    <col min="3850" max="3850" width="13.625" style="212" customWidth="1"/>
    <col min="3851" max="3851" width="9.625" style="212" customWidth="1"/>
    <col min="3852" max="3852" width="14.875" style="212" customWidth="1"/>
    <col min="3853" max="4092" width="9.125" style="212" customWidth="1"/>
    <col min="4093" max="4093" width="5.625" style="212" customWidth="1"/>
    <col min="4094" max="4094" width="33.625" style="212" customWidth="1"/>
    <col min="4095" max="4095" width="15.625" style="212" customWidth="1"/>
    <col min="4096" max="4096" width="9.625" style="212" customWidth="1"/>
    <col min="4097" max="4097" width="11.75390625" style="212" customWidth="1"/>
    <col min="4098" max="4098" width="13.125" style="212" customWidth="1"/>
    <col min="4099" max="4099" width="9.125" style="212" customWidth="1"/>
    <col min="4100" max="4100" width="9.25390625" style="212" bestFit="1" customWidth="1"/>
    <col min="4101" max="4101" width="12.125" style="212" customWidth="1"/>
    <col min="4102" max="4102" width="12.75390625" style="212" customWidth="1"/>
    <col min="4103" max="4103" width="9.375" style="212" customWidth="1"/>
    <col min="4104" max="4104" width="9.25390625" style="212" bestFit="1" customWidth="1"/>
    <col min="4105" max="4105" width="13.125" style="212" customWidth="1"/>
    <col min="4106" max="4106" width="13.625" style="212" customWidth="1"/>
    <col min="4107" max="4107" width="9.625" style="212" customWidth="1"/>
    <col min="4108" max="4108" width="14.875" style="212" customWidth="1"/>
    <col min="4109" max="4348" width="9.125" style="212" customWidth="1"/>
    <col min="4349" max="4349" width="5.625" style="212" customWidth="1"/>
    <col min="4350" max="4350" width="33.625" style="212" customWidth="1"/>
    <col min="4351" max="4351" width="15.625" style="212" customWidth="1"/>
    <col min="4352" max="4352" width="9.625" style="212" customWidth="1"/>
    <col min="4353" max="4353" width="11.75390625" style="212" customWidth="1"/>
    <col min="4354" max="4354" width="13.125" style="212" customWidth="1"/>
    <col min="4355" max="4355" width="9.125" style="212" customWidth="1"/>
    <col min="4356" max="4356" width="9.25390625" style="212" bestFit="1" customWidth="1"/>
    <col min="4357" max="4357" width="12.125" style="212" customWidth="1"/>
    <col min="4358" max="4358" width="12.75390625" style="212" customWidth="1"/>
    <col min="4359" max="4359" width="9.375" style="212" customWidth="1"/>
    <col min="4360" max="4360" width="9.25390625" style="212" bestFit="1" customWidth="1"/>
    <col min="4361" max="4361" width="13.125" style="212" customWidth="1"/>
    <col min="4362" max="4362" width="13.625" style="212" customWidth="1"/>
    <col min="4363" max="4363" width="9.625" style="212" customWidth="1"/>
    <col min="4364" max="4364" width="14.875" style="212" customWidth="1"/>
    <col min="4365" max="4604" width="9.125" style="212" customWidth="1"/>
    <col min="4605" max="4605" width="5.625" style="212" customWidth="1"/>
    <col min="4606" max="4606" width="33.625" style="212" customWidth="1"/>
    <col min="4607" max="4607" width="15.625" style="212" customWidth="1"/>
    <col min="4608" max="4608" width="9.625" style="212" customWidth="1"/>
    <col min="4609" max="4609" width="11.75390625" style="212" customWidth="1"/>
    <col min="4610" max="4610" width="13.125" style="212" customWidth="1"/>
    <col min="4611" max="4611" width="9.125" style="212" customWidth="1"/>
    <col min="4612" max="4612" width="9.25390625" style="212" bestFit="1" customWidth="1"/>
    <col min="4613" max="4613" width="12.125" style="212" customWidth="1"/>
    <col min="4614" max="4614" width="12.75390625" style="212" customWidth="1"/>
    <col min="4615" max="4615" width="9.375" style="212" customWidth="1"/>
    <col min="4616" max="4616" width="9.25390625" style="212" bestFit="1" customWidth="1"/>
    <col min="4617" max="4617" width="13.125" style="212" customWidth="1"/>
    <col min="4618" max="4618" width="13.625" style="212" customWidth="1"/>
    <col min="4619" max="4619" width="9.625" style="212" customWidth="1"/>
    <col min="4620" max="4620" width="14.875" style="212" customWidth="1"/>
    <col min="4621" max="4860" width="9.125" style="212" customWidth="1"/>
    <col min="4861" max="4861" width="5.625" style="212" customWidth="1"/>
    <col min="4862" max="4862" width="33.625" style="212" customWidth="1"/>
    <col min="4863" max="4863" width="15.625" style="212" customWidth="1"/>
    <col min="4864" max="4864" width="9.625" style="212" customWidth="1"/>
    <col min="4865" max="4865" width="11.75390625" style="212" customWidth="1"/>
    <col min="4866" max="4866" width="13.125" style="212" customWidth="1"/>
    <col min="4867" max="4867" width="9.125" style="212" customWidth="1"/>
    <col min="4868" max="4868" width="9.25390625" style="212" bestFit="1" customWidth="1"/>
    <col min="4869" max="4869" width="12.125" style="212" customWidth="1"/>
    <col min="4870" max="4870" width="12.75390625" style="212" customWidth="1"/>
    <col min="4871" max="4871" width="9.375" style="212" customWidth="1"/>
    <col min="4872" max="4872" width="9.25390625" style="212" bestFit="1" customWidth="1"/>
    <col min="4873" max="4873" width="13.125" style="212" customWidth="1"/>
    <col min="4874" max="4874" width="13.625" style="212" customWidth="1"/>
    <col min="4875" max="4875" width="9.625" style="212" customWidth="1"/>
    <col min="4876" max="4876" width="14.875" style="212" customWidth="1"/>
    <col min="4877" max="5116" width="9.125" style="212" customWidth="1"/>
    <col min="5117" max="5117" width="5.625" style="212" customWidth="1"/>
    <col min="5118" max="5118" width="33.625" style="212" customWidth="1"/>
    <col min="5119" max="5119" width="15.625" style="212" customWidth="1"/>
    <col min="5120" max="5120" width="9.625" style="212" customWidth="1"/>
    <col min="5121" max="5121" width="11.75390625" style="212" customWidth="1"/>
    <col min="5122" max="5122" width="13.125" style="212" customWidth="1"/>
    <col min="5123" max="5123" width="9.125" style="212" customWidth="1"/>
    <col min="5124" max="5124" width="9.25390625" style="212" bestFit="1" customWidth="1"/>
    <col min="5125" max="5125" width="12.125" style="212" customWidth="1"/>
    <col min="5126" max="5126" width="12.75390625" style="212" customWidth="1"/>
    <col min="5127" max="5127" width="9.375" style="212" customWidth="1"/>
    <col min="5128" max="5128" width="9.25390625" style="212" bestFit="1" customWidth="1"/>
    <col min="5129" max="5129" width="13.125" style="212" customWidth="1"/>
    <col min="5130" max="5130" width="13.625" style="212" customWidth="1"/>
    <col min="5131" max="5131" width="9.625" style="212" customWidth="1"/>
    <col min="5132" max="5132" width="14.875" style="212" customWidth="1"/>
    <col min="5133" max="5372" width="9.125" style="212" customWidth="1"/>
    <col min="5373" max="5373" width="5.625" style="212" customWidth="1"/>
    <col min="5374" max="5374" width="33.625" style="212" customWidth="1"/>
    <col min="5375" max="5375" width="15.625" style="212" customWidth="1"/>
    <col min="5376" max="5376" width="9.625" style="212" customWidth="1"/>
    <col min="5377" max="5377" width="11.75390625" style="212" customWidth="1"/>
    <col min="5378" max="5378" width="13.125" style="212" customWidth="1"/>
    <col min="5379" max="5379" width="9.125" style="212" customWidth="1"/>
    <col min="5380" max="5380" width="9.25390625" style="212" bestFit="1" customWidth="1"/>
    <col min="5381" max="5381" width="12.125" style="212" customWidth="1"/>
    <col min="5382" max="5382" width="12.75390625" style="212" customWidth="1"/>
    <col min="5383" max="5383" width="9.375" style="212" customWidth="1"/>
    <col min="5384" max="5384" width="9.25390625" style="212" bestFit="1" customWidth="1"/>
    <col min="5385" max="5385" width="13.125" style="212" customWidth="1"/>
    <col min="5386" max="5386" width="13.625" style="212" customWidth="1"/>
    <col min="5387" max="5387" width="9.625" style="212" customWidth="1"/>
    <col min="5388" max="5388" width="14.875" style="212" customWidth="1"/>
    <col min="5389" max="5628" width="9.125" style="212" customWidth="1"/>
    <col min="5629" max="5629" width="5.625" style="212" customWidth="1"/>
    <col min="5630" max="5630" width="33.625" style="212" customWidth="1"/>
    <col min="5631" max="5631" width="15.625" style="212" customWidth="1"/>
    <col min="5632" max="5632" width="9.625" style="212" customWidth="1"/>
    <col min="5633" max="5633" width="11.75390625" style="212" customWidth="1"/>
    <col min="5634" max="5634" width="13.125" style="212" customWidth="1"/>
    <col min="5635" max="5635" width="9.125" style="212" customWidth="1"/>
    <col min="5636" max="5636" width="9.25390625" style="212" bestFit="1" customWidth="1"/>
    <col min="5637" max="5637" width="12.125" style="212" customWidth="1"/>
    <col min="5638" max="5638" width="12.75390625" style="212" customWidth="1"/>
    <col min="5639" max="5639" width="9.375" style="212" customWidth="1"/>
    <col min="5640" max="5640" width="9.25390625" style="212" bestFit="1" customWidth="1"/>
    <col min="5641" max="5641" width="13.125" style="212" customWidth="1"/>
    <col min="5642" max="5642" width="13.625" style="212" customWidth="1"/>
    <col min="5643" max="5643" width="9.625" style="212" customWidth="1"/>
    <col min="5644" max="5644" width="14.875" style="212" customWidth="1"/>
    <col min="5645" max="5884" width="9.125" style="212" customWidth="1"/>
    <col min="5885" max="5885" width="5.625" style="212" customWidth="1"/>
    <col min="5886" max="5886" width="33.625" style="212" customWidth="1"/>
    <col min="5887" max="5887" width="15.625" style="212" customWidth="1"/>
    <col min="5888" max="5888" width="9.625" style="212" customWidth="1"/>
    <col min="5889" max="5889" width="11.75390625" style="212" customWidth="1"/>
    <col min="5890" max="5890" width="13.125" style="212" customWidth="1"/>
    <col min="5891" max="5891" width="9.125" style="212" customWidth="1"/>
    <col min="5892" max="5892" width="9.25390625" style="212" bestFit="1" customWidth="1"/>
    <col min="5893" max="5893" width="12.125" style="212" customWidth="1"/>
    <col min="5894" max="5894" width="12.75390625" style="212" customWidth="1"/>
    <col min="5895" max="5895" width="9.375" style="212" customWidth="1"/>
    <col min="5896" max="5896" width="9.25390625" style="212" bestFit="1" customWidth="1"/>
    <col min="5897" max="5897" width="13.125" style="212" customWidth="1"/>
    <col min="5898" max="5898" width="13.625" style="212" customWidth="1"/>
    <col min="5899" max="5899" width="9.625" style="212" customWidth="1"/>
    <col min="5900" max="5900" width="14.875" style="212" customWidth="1"/>
    <col min="5901" max="6140" width="9.125" style="212" customWidth="1"/>
    <col min="6141" max="6141" width="5.625" style="212" customWidth="1"/>
    <col min="6142" max="6142" width="33.625" style="212" customWidth="1"/>
    <col min="6143" max="6143" width="15.625" style="212" customWidth="1"/>
    <col min="6144" max="6144" width="9.625" style="212" customWidth="1"/>
    <col min="6145" max="6145" width="11.75390625" style="212" customWidth="1"/>
    <col min="6146" max="6146" width="13.125" style="212" customWidth="1"/>
    <col min="6147" max="6147" width="9.125" style="212" customWidth="1"/>
    <col min="6148" max="6148" width="9.25390625" style="212" bestFit="1" customWidth="1"/>
    <col min="6149" max="6149" width="12.125" style="212" customWidth="1"/>
    <col min="6150" max="6150" width="12.75390625" style="212" customWidth="1"/>
    <col min="6151" max="6151" width="9.375" style="212" customWidth="1"/>
    <col min="6152" max="6152" width="9.25390625" style="212" bestFit="1" customWidth="1"/>
    <col min="6153" max="6153" width="13.125" style="212" customWidth="1"/>
    <col min="6154" max="6154" width="13.625" style="212" customWidth="1"/>
    <col min="6155" max="6155" width="9.625" style="212" customWidth="1"/>
    <col min="6156" max="6156" width="14.875" style="212" customWidth="1"/>
    <col min="6157" max="6396" width="9.125" style="212" customWidth="1"/>
    <col min="6397" max="6397" width="5.625" style="212" customWidth="1"/>
    <col min="6398" max="6398" width="33.625" style="212" customWidth="1"/>
    <col min="6399" max="6399" width="15.625" style="212" customWidth="1"/>
    <col min="6400" max="6400" width="9.625" style="212" customWidth="1"/>
    <col min="6401" max="6401" width="11.75390625" style="212" customWidth="1"/>
    <col min="6402" max="6402" width="13.125" style="212" customWidth="1"/>
    <col min="6403" max="6403" width="9.125" style="212" customWidth="1"/>
    <col min="6404" max="6404" width="9.25390625" style="212" bestFit="1" customWidth="1"/>
    <col min="6405" max="6405" width="12.125" style="212" customWidth="1"/>
    <col min="6406" max="6406" width="12.75390625" style="212" customWidth="1"/>
    <col min="6407" max="6407" width="9.375" style="212" customWidth="1"/>
    <col min="6408" max="6408" width="9.25390625" style="212" bestFit="1" customWidth="1"/>
    <col min="6409" max="6409" width="13.125" style="212" customWidth="1"/>
    <col min="6410" max="6410" width="13.625" style="212" customWidth="1"/>
    <col min="6411" max="6411" width="9.625" style="212" customWidth="1"/>
    <col min="6412" max="6412" width="14.875" style="212" customWidth="1"/>
    <col min="6413" max="6652" width="9.125" style="212" customWidth="1"/>
    <col min="6653" max="6653" width="5.625" style="212" customWidth="1"/>
    <col min="6654" max="6654" width="33.625" style="212" customWidth="1"/>
    <col min="6655" max="6655" width="15.625" style="212" customWidth="1"/>
    <col min="6656" max="6656" width="9.625" style="212" customWidth="1"/>
    <col min="6657" max="6657" width="11.75390625" style="212" customWidth="1"/>
    <col min="6658" max="6658" width="13.125" style="212" customWidth="1"/>
    <col min="6659" max="6659" width="9.125" style="212" customWidth="1"/>
    <col min="6660" max="6660" width="9.25390625" style="212" bestFit="1" customWidth="1"/>
    <col min="6661" max="6661" width="12.125" style="212" customWidth="1"/>
    <col min="6662" max="6662" width="12.75390625" style="212" customWidth="1"/>
    <col min="6663" max="6663" width="9.375" style="212" customWidth="1"/>
    <col min="6664" max="6664" width="9.25390625" style="212" bestFit="1" customWidth="1"/>
    <col min="6665" max="6665" width="13.125" style="212" customWidth="1"/>
    <col min="6666" max="6666" width="13.625" style="212" customWidth="1"/>
    <col min="6667" max="6667" width="9.625" style="212" customWidth="1"/>
    <col min="6668" max="6668" width="14.875" style="212" customWidth="1"/>
    <col min="6669" max="6908" width="9.125" style="212" customWidth="1"/>
    <col min="6909" max="6909" width="5.625" style="212" customWidth="1"/>
    <col min="6910" max="6910" width="33.625" style="212" customWidth="1"/>
    <col min="6911" max="6911" width="15.625" style="212" customWidth="1"/>
    <col min="6912" max="6912" width="9.625" style="212" customWidth="1"/>
    <col min="6913" max="6913" width="11.75390625" style="212" customWidth="1"/>
    <col min="6914" max="6914" width="13.125" style="212" customWidth="1"/>
    <col min="6915" max="6915" width="9.125" style="212" customWidth="1"/>
    <col min="6916" max="6916" width="9.25390625" style="212" bestFit="1" customWidth="1"/>
    <col min="6917" max="6917" width="12.125" style="212" customWidth="1"/>
    <col min="6918" max="6918" width="12.75390625" style="212" customWidth="1"/>
    <col min="6919" max="6919" width="9.375" style="212" customWidth="1"/>
    <col min="6920" max="6920" width="9.25390625" style="212" bestFit="1" customWidth="1"/>
    <col min="6921" max="6921" width="13.125" style="212" customWidth="1"/>
    <col min="6922" max="6922" width="13.625" style="212" customWidth="1"/>
    <col min="6923" max="6923" width="9.625" style="212" customWidth="1"/>
    <col min="6924" max="6924" width="14.875" style="212" customWidth="1"/>
    <col min="6925" max="7164" width="9.125" style="212" customWidth="1"/>
    <col min="7165" max="7165" width="5.625" style="212" customWidth="1"/>
    <col min="7166" max="7166" width="33.625" style="212" customWidth="1"/>
    <col min="7167" max="7167" width="15.625" style="212" customWidth="1"/>
    <col min="7168" max="7168" width="9.625" style="212" customWidth="1"/>
    <col min="7169" max="7169" width="11.75390625" style="212" customWidth="1"/>
    <col min="7170" max="7170" width="13.125" style="212" customWidth="1"/>
    <col min="7171" max="7171" width="9.125" style="212" customWidth="1"/>
    <col min="7172" max="7172" width="9.25390625" style="212" bestFit="1" customWidth="1"/>
    <col min="7173" max="7173" width="12.125" style="212" customWidth="1"/>
    <col min="7174" max="7174" width="12.75390625" style="212" customWidth="1"/>
    <col min="7175" max="7175" width="9.375" style="212" customWidth="1"/>
    <col min="7176" max="7176" width="9.25390625" style="212" bestFit="1" customWidth="1"/>
    <col min="7177" max="7177" width="13.125" style="212" customWidth="1"/>
    <col min="7178" max="7178" width="13.625" style="212" customWidth="1"/>
    <col min="7179" max="7179" width="9.625" style="212" customWidth="1"/>
    <col min="7180" max="7180" width="14.875" style="212" customWidth="1"/>
    <col min="7181" max="7420" width="9.125" style="212" customWidth="1"/>
    <col min="7421" max="7421" width="5.625" style="212" customWidth="1"/>
    <col min="7422" max="7422" width="33.625" style="212" customWidth="1"/>
    <col min="7423" max="7423" width="15.625" style="212" customWidth="1"/>
    <col min="7424" max="7424" width="9.625" style="212" customWidth="1"/>
    <col min="7425" max="7425" width="11.75390625" style="212" customWidth="1"/>
    <col min="7426" max="7426" width="13.125" style="212" customWidth="1"/>
    <col min="7427" max="7427" width="9.125" style="212" customWidth="1"/>
    <col min="7428" max="7428" width="9.25390625" style="212" bestFit="1" customWidth="1"/>
    <col min="7429" max="7429" width="12.125" style="212" customWidth="1"/>
    <col min="7430" max="7430" width="12.75390625" style="212" customWidth="1"/>
    <col min="7431" max="7431" width="9.375" style="212" customWidth="1"/>
    <col min="7432" max="7432" width="9.25390625" style="212" bestFit="1" customWidth="1"/>
    <col min="7433" max="7433" width="13.125" style="212" customWidth="1"/>
    <col min="7434" max="7434" width="13.625" style="212" customWidth="1"/>
    <col min="7435" max="7435" width="9.625" style="212" customWidth="1"/>
    <col min="7436" max="7436" width="14.875" style="212" customWidth="1"/>
    <col min="7437" max="7676" width="9.125" style="212" customWidth="1"/>
    <col min="7677" max="7677" width="5.625" style="212" customWidth="1"/>
    <col min="7678" max="7678" width="33.625" style="212" customWidth="1"/>
    <col min="7679" max="7679" width="15.625" style="212" customWidth="1"/>
    <col min="7680" max="7680" width="9.625" style="212" customWidth="1"/>
    <col min="7681" max="7681" width="11.75390625" style="212" customWidth="1"/>
    <col min="7682" max="7682" width="13.125" style="212" customWidth="1"/>
    <col min="7683" max="7683" width="9.125" style="212" customWidth="1"/>
    <col min="7684" max="7684" width="9.25390625" style="212" bestFit="1" customWidth="1"/>
    <col min="7685" max="7685" width="12.125" style="212" customWidth="1"/>
    <col min="7686" max="7686" width="12.75390625" style="212" customWidth="1"/>
    <col min="7687" max="7687" width="9.375" style="212" customWidth="1"/>
    <col min="7688" max="7688" width="9.25390625" style="212" bestFit="1" customWidth="1"/>
    <col min="7689" max="7689" width="13.125" style="212" customWidth="1"/>
    <col min="7690" max="7690" width="13.625" style="212" customWidth="1"/>
    <col min="7691" max="7691" width="9.625" style="212" customWidth="1"/>
    <col min="7692" max="7692" width="14.875" style="212" customWidth="1"/>
    <col min="7693" max="7932" width="9.125" style="212" customWidth="1"/>
    <col min="7933" max="7933" width="5.625" style="212" customWidth="1"/>
    <col min="7934" max="7934" width="33.625" style="212" customWidth="1"/>
    <col min="7935" max="7935" width="15.625" style="212" customWidth="1"/>
    <col min="7936" max="7936" width="9.625" style="212" customWidth="1"/>
    <col min="7937" max="7937" width="11.75390625" style="212" customWidth="1"/>
    <col min="7938" max="7938" width="13.125" style="212" customWidth="1"/>
    <col min="7939" max="7939" width="9.125" style="212" customWidth="1"/>
    <col min="7940" max="7940" width="9.25390625" style="212" bestFit="1" customWidth="1"/>
    <col min="7941" max="7941" width="12.125" style="212" customWidth="1"/>
    <col min="7942" max="7942" width="12.75390625" style="212" customWidth="1"/>
    <col min="7943" max="7943" width="9.375" style="212" customWidth="1"/>
    <col min="7944" max="7944" width="9.25390625" style="212" bestFit="1" customWidth="1"/>
    <col min="7945" max="7945" width="13.125" style="212" customWidth="1"/>
    <col min="7946" max="7946" width="13.625" style="212" customWidth="1"/>
    <col min="7947" max="7947" width="9.625" style="212" customWidth="1"/>
    <col min="7948" max="7948" width="14.875" style="212" customWidth="1"/>
    <col min="7949" max="8188" width="9.125" style="212" customWidth="1"/>
    <col min="8189" max="8189" width="5.625" style="212" customWidth="1"/>
    <col min="8190" max="8190" width="33.625" style="212" customWidth="1"/>
    <col min="8191" max="8191" width="15.625" style="212" customWidth="1"/>
    <col min="8192" max="8192" width="9.625" style="212" customWidth="1"/>
    <col min="8193" max="8193" width="11.75390625" style="212" customWidth="1"/>
    <col min="8194" max="8194" width="13.125" style="212" customWidth="1"/>
    <col min="8195" max="8195" width="9.125" style="212" customWidth="1"/>
    <col min="8196" max="8196" width="9.25390625" style="212" bestFit="1" customWidth="1"/>
    <col min="8197" max="8197" width="12.125" style="212" customWidth="1"/>
    <col min="8198" max="8198" width="12.75390625" style="212" customWidth="1"/>
    <col min="8199" max="8199" width="9.375" style="212" customWidth="1"/>
    <col min="8200" max="8200" width="9.25390625" style="212" bestFit="1" customWidth="1"/>
    <col min="8201" max="8201" width="13.125" style="212" customWidth="1"/>
    <col min="8202" max="8202" width="13.625" style="212" customWidth="1"/>
    <col min="8203" max="8203" width="9.625" style="212" customWidth="1"/>
    <col min="8204" max="8204" width="14.875" style="212" customWidth="1"/>
    <col min="8205" max="8444" width="9.125" style="212" customWidth="1"/>
    <col min="8445" max="8445" width="5.625" style="212" customWidth="1"/>
    <col min="8446" max="8446" width="33.625" style="212" customWidth="1"/>
    <col min="8447" max="8447" width="15.625" style="212" customWidth="1"/>
    <col min="8448" max="8448" width="9.625" style="212" customWidth="1"/>
    <col min="8449" max="8449" width="11.75390625" style="212" customWidth="1"/>
    <col min="8450" max="8450" width="13.125" style="212" customWidth="1"/>
    <col min="8451" max="8451" width="9.125" style="212" customWidth="1"/>
    <col min="8452" max="8452" width="9.25390625" style="212" bestFit="1" customWidth="1"/>
    <col min="8453" max="8453" width="12.125" style="212" customWidth="1"/>
    <col min="8454" max="8454" width="12.75390625" style="212" customWidth="1"/>
    <col min="8455" max="8455" width="9.375" style="212" customWidth="1"/>
    <col min="8456" max="8456" width="9.25390625" style="212" bestFit="1" customWidth="1"/>
    <col min="8457" max="8457" width="13.125" style="212" customWidth="1"/>
    <col min="8458" max="8458" width="13.625" style="212" customWidth="1"/>
    <col min="8459" max="8459" width="9.625" style="212" customWidth="1"/>
    <col min="8460" max="8460" width="14.875" style="212" customWidth="1"/>
    <col min="8461" max="8700" width="9.125" style="212" customWidth="1"/>
    <col min="8701" max="8701" width="5.625" style="212" customWidth="1"/>
    <col min="8702" max="8702" width="33.625" style="212" customWidth="1"/>
    <col min="8703" max="8703" width="15.625" style="212" customWidth="1"/>
    <col min="8704" max="8704" width="9.625" style="212" customWidth="1"/>
    <col min="8705" max="8705" width="11.75390625" style="212" customWidth="1"/>
    <col min="8706" max="8706" width="13.125" style="212" customWidth="1"/>
    <col min="8707" max="8707" width="9.125" style="212" customWidth="1"/>
    <col min="8708" max="8708" width="9.25390625" style="212" bestFit="1" customWidth="1"/>
    <col min="8709" max="8709" width="12.125" style="212" customWidth="1"/>
    <col min="8710" max="8710" width="12.75390625" style="212" customWidth="1"/>
    <col min="8711" max="8711" width="9.375" style="212" customWidth="1"/>
    <col min="8712" max="8712" width="9.25390625" style="212" bestFit="1" customWidth="1"/>
    <col min="8713" max="8713" width="13.125" style="212" customWidth="1"/>
    <col min="8714" max="8714" width="13.625" style="212" customWidth="1"/>
    <col min="8715" max="8715" width="9.625" style="212" customWidth="1"/>
    <col min="8716" max="8716" width="14.875" style="212" customWidth="1"/>
    <col min="8717" max="8956" width="9.125" style="212" customWidth="1"/>
    <col min="8957" max="8957" width="5.625" style="212" customWidth="1"/>
    <col min="8958" max="8958" width="33.625" style="212" customWidth="1"/>
    <col min="8959" max="8959" width="15.625" style="212" customWidth="1"/>
    <col min="8960" max="8960" width="9.625" style="212" customWidth="1"/>
    <col min="8961" max="8961" width="11.75390625" style="212" customWidth="1"/>
    <col min="8962" max="8962" width="13.125" style="212" customWidth="1"/>
    <col min="8963" max="8963" width="9.125" style="212" customWidth="1"/>
    <col min="8964" max="8964" width="9.25390625" style="212" bestFit="1" customWidth="1"/>
    <col min="8965" max="8965" width="12.125" style="212" customWidth="1"/>
    <col min="8966" max="8966" width="12.75390625" style="212" customWidth="1"/>
    <col min="8967" max="8967" width="9.375" style="212" customWidth="1"/>
    <col min="8968" max="8968" width="9.25390625" style="212" bestFit="1" customWidth="1"/>
    <col min="8969" max="8969" width="13.125" style="212" customWidth="1"/>
    <col min="8970" max="8970" width="13.625" style="212" customWidth="1"/>
    <col min="8971" max="8971" width="9.625" style="212" customWidth="1"/>
    <col min="8972" max="8972" width="14.875" style="212" customWidth="1"/>
    <col min="8973" max="9212" width="9.125" style="212" customWidth="1"/>
    <col min="9213" max="9213" width="5.625" style="212" customWidth="1"/>
    <col min="9214" max="9214" width="33.625" style="212" customWidth="1"/>
    <col min="9215" max="9215" width="15.625" style="212" customWidth="1"/>
    <col min="9216" max="9216" width="9.625" style="212" customWidth="1"/>
    <col min="9217" max="9217" width="11.75390625" style="212" customWidth="1"/>
    <col min="9218" max="9218" width="13.125" style="212" customWidth="1"/>
    <col min="9219" max="9219" width="9.125" style="212" customWidth="1"/>
    <col min="9220" max="9220" width="9.25390625" style="212" bestFit="1" customWidth="1"/>
    <col min="9221" max="9221" width="12.125" style="212" customWidth="1"/>
    <col min="9222" max="9222" width="12.75390625" style="212" customWidth="1"/>
    <col min="9223" max="9223" width="9.375" style="212" customWidth="1"/>
    <col min="9224" max="9224" width="9.25390625" style="212" bestFit="1" customWidth="1"/>
    <col min="9225" max="9225" width="13.125" style="212" customWidth="1"/>
    <col min="9226" max="9226" width="13.625" style="212" customWidth="1"/>
    <col min="9227" max="9227" width="9.625" style="212" customWidth="1"/>
    <col min="9228" max="9228" width="14.875" style="212" customWidth="1"/>
    <col min="9229" max="9468" width="9.125" style="212" customWidth="1"/>
    <col min="9469" max="9469" width="5.625" style="212" customWidth="1"/>
    <col min="9470" max="9470" width="33.625" style="212" customWidth="1"/>
    <col min="9471" max="9471" width="15.625" style="212" customWidth="1"/>
    <col min="9472" max="9472" width="9.625" style="212" customWidth="1"/>
    <col min="9473" max="9473" width="11.75390625" style="212" customWidth="1"/>
    <col min="9474" max="9474" width="13.125" style="212" customWidth="1"/>
    <col min="9475" max="9475" width="9.125" style="212" customWidth="1"/>
    <col min="9476" max="9476" width="9.25390625" style="212" bestFit="1" customWidth="1"/>
    <col min="9477" max="9477" width="12.125" style="212" customWidth="1"/>
    <col min="9478" max="9478" width="12.75390625" style="212" customWidth="1"/>
    <col min="9479" max="9479" width="9.375" style="212" customWidth="1"/>
    <col min="9480" max="9480" width="9.25390625" style="212" bestFit="1" customWidth="1"/>
    <col min="9481" max="9481" width="13.125" style="212" customWidth="1"/>
    <col min="9482" max="9482" width="13.625" style="212" customWidth="1"/>
    <col min="9483" max="9483" width="9.625" style="212" customWidth="1"/>
    <col min="9484" max="9484" width="14.875" style="212" customWidth="1"/>
    <col min="9485" max="9724" width="9.125" style="212" customWidth="1"/>
    <col min="9725" max="9725" width="5.625" style="212" customWidth="1"/>
    <col min="9726" max="9726" width="33.625" style="212" customWidth="1"/>
    <col min="9727" max="9727" width="15.625" style="212" customWidth="1"/>
    <col min="9728" max="9728" width="9.625" style="212" customWidth="1"/>
    <col min="9729" max="9729" width="11.75390625" style="212" customWidth="1"/>
    <col min="9730" max="9730" width="13.125" style="212" customWidth="1"/>
    <col min="9731" max="9731" width="9.125" style="212" customWidth="1"/>
    <col min="9732" max="9732" width="9.25390625" style="212" bestFit="1" customWidth="1"/>
    <col min="9733" max="9733" width="12.125" style="212" customWidth="1"/>
    <col min="9734" max="9734" width="12.75390625" style="212" customWidth="1"/>
    <col min="9735" max="9735" width="9.375" style="212" customWidth="1"/>
    <col min="9736" max="9736" width="9.25390625" style="212" bestFit="1" customWidth="1"/>
    <col min="9737" max="9737" width="13.125" style="212" customWidth="1"/>
    <col min="9738" max="9738" width="13.625" style="212" customWidth="1"/>
    <col min="9739" max="9739" width="9.625" style="212" customWidth="1"/>
    <col min="9740" max="9740" width="14.875" style="212" customWidth="1"/>
    <col min="9741" max="9980" width="9.125" style="212" customWidth="1"/>
    <col min="9981" max="9981" width="5.625" style="212" customWidth="1"/>
    <col min="9982" max="9982" width="33.625" style="212" customWidth="1"/>
    <col min="9983" max="9983" width="15.625" style="212" customWidth="1"/>
    <col min="9984" max="9984" width="9.625" style="212" customWidth="1"/>
    <col min="9985" max="9985" width="11.75390625" style="212" customWidth="1"/>
    <col min="9986" max="9986" width="13.125" style="212" customWidth="1"/>
    <col min="9987" max="9987" width="9.125" style="212" customWidth="1"/>
    <col min="9988" max="9988" width="9.25390625" style="212" bestFit="1" customWidth="1"/>
    <col min="9989" max="9989" width="12.125" style="212" customWidth="1"/>
    <col min="9990" max="9990" width="12.75390625" style="212" customWidth="1"/>
    <col min="9991" max="9991" width="9.375" style="212" customWidth="1"/>
    <col min="9992" max="9992" width="9.25390625" style="212" bestFit="1" customWidth="1"/>
    <col min="9993" max="9993" width="13.125" style="212" customWidth="1"/>
    <col min="9994" max="9994" width="13.625" style="212" customWidth="1"/>
    <col min="9995" max="9995" width="9.625" style="212" customWidth="1"/>
    <col min="9996" max="9996" width="14.875" style="212" customWidth="1"/>
    <col min="9997" max="10236" width="9.125" style="212" customWidth="1"/>
    <col min="10237" max="10237" width="5.625" style="212" customWidth="1"/>
    <col min="10238" max="10238" width="33.625" style="212" customWidth="1"/>
    <col min="10239" max="10239" width="15.625" style="212" customWidth="1"/>
    <col min="10240" max="10240" width="9.625" style="212" customWidth="1"/>
    <col min="10241" max="10241" width="11.75390625" style="212" customWidth="1"/>
    <col min="10242" max="10242" width="13.125" style="212" customWidth="1"/>
    <col min="10243" max="10243" width="9.125" style="212" customWidth="1"/>
    <col min="10244" max="10244" width="9.25390625" style="212" bestFit="1" customWidth="1"/>
    <col min="10245" max="10245" width="12.125" style="212" customWidth="1"/>
    <col min="10246" max="10246" width="12.75390625" style="212" customWidth="1"/>
    <col min="10247" max="10247" width="9.375" style="212" customWidth="1"/>
    <col min="10248" max="10248" width="9.25390625" style="212" bestFit="1" customWidth="1"/>
    <col min="10249" max="10249" width="13.125" style="212" customWidth="1"/>
    <col min="10250" max="10250" width="13.625" style="212" customWidth="1"/>
    <col min="10251" max="10251" width="9.625" style="212" customWidth="1"/>
    <col min="10252" max="10252" width="14.875" style="212" customWidth="1"/>
    <col min="10253" max="10492" width="9.125" style="212" customWidth="1"/>
    <col min="10493" max="10493" width="5.625" style="212" customWidth="1"/>
    <col min="10494" max="10494" width="33.625" style="212" customWidth="1"/>
    <col min="10495" max="10495" width="15.625" style="212" customWidth="1"/>
    <col min="10496" max="10496" width="9.625" style="212" customWidth="1"/>
    <col min="10497" max="10497" width="11.75390625" style="212" customWidth="1"/>
    <col min="10498" max="10498" width="13.125" style="212" customWidth="1"/>
    <col min="10499" max="10499" width="9.125" style="212" customWidth="1"/>
    <col min="10500" max="10500" width="9.25390625" style="212" bestFit="1" customWidth="1"/>
    <col min="10501" max="10501" width="12.125" style="212" customWidth="1"/>
    <col min="10502" max="10502" width="12.75390625" style="212" customWidth="1"/>
    <col min="10503" max="10503" width="9.375" style="212" customWidth="1"/>
    <col min="10504" max="10504" width="9.25390625" style="212" bestFit="1" customWidth="1"/>
    <col min="10505" max="10505" width="13.125" style="212" customWidth="1"/>
    <col min="10506" max="10506" width="13.625" style="212" customWidth="1"/>
    <col min="10507" max="10507" width="9.625" style="212" customWidth="1"/>
    <col min="10508" max="10508" width="14.875" style="212" customWidth="1"/>
    <col min="10509" max="10748" width="9.125" style="212" customWidth="1"/>
    <col min="10749" max="10749" width="5.625" style="212" customWidth="1"/>
    <col min="10750" max="10750" width="33.625" style="212" customWidth="1"/>
    <col min="10751" max="10751" width="15.625" style="212" customWidth="1"/>
    <col min="10752" max="10752" width="9.625" style="212" customWidth="1"/>
    <col min="10753" max="10753" width="11.75390625" style="212" customWidth="1"/>
    <col min="10754" max="10754" width="13.125" style="212" customWidth="1"/>
    <col min="10755" max="10755" width="9.125" style="212" customWidth="1"/>
    <col min="10756" max="10756" width="9.25390625" style="212" bestFit="1" customWidth="1"/>
    <col min="10757" max="10757" width="12.125" style="212" customWidth="1"/>
    <col min="10758" max="10758" width="12.75390625" style="212" customWidth="1"/>
    <col min="10759" max="10759" width="9.375" style="212" customWidth="1"/>
    <col min="10760" max="10760" width="9.25390625" style="212" bestFit="1" customWidth="1"/>
    <col min="10761" max="10761" width="13.125" style="212" customWidth="1"/>
    <col min="10762" max="10762" width="13.625" style="212" customWidth="1"/>
    <col min="10763" max="10763" width="9.625" style="212" customWidth="1"/>
    <col min="10764" max="10764" width="14.875" style="212" customWidth="1"/>
    <col min="10765" max="11004" width="9.125" style="212" customWidth="1"/>
    <col min="11005" max="11005" width="5.625" style="212" customWidth="1"/>
    <col min="11006" max="11006" width="33.625" style="212" customWidth="1"/>
    <col min="11007" max="11007" width="15.625" style="212" customWidth="1"/>
    <col min="11008" max="11008" width="9.625" style="212" customWidth="1"/>
    <col min="11009" max="11009" width="11.75390625" style="212" customWidth="1"/>
    <col min="11010" max="11010" width="13.125" style="212" customWidth="1"/>
    <col min="11011" max="11011" width="9.125" style="212" customWidth="1"/>
    <col min="11012" max="11012" width="9.25390625" style="212" bestFit="1" customWidth="1"/>
    <col min="11013" max="11013" width="12.125" style="212" customWidth="1"/>
    <col min="11014" max="11014" width="12.75390625" style="212" customWidth="1"/>
    <col min="11015" max="11015" width="9.375" style="212" customWidth="1"/>
    <col min="11016" max="11016" width="9.25390625" style="212" bestFit="1" customWidth="1"/>
    <col min="11017" max="11017" width="13.125" style="212" customWidth="1"/>
    <col min="11018" max="11018" width="13.625" style="212" customWidth="1"/>
    <col min="11019" max="11019" width="9.625" style="212" customWidth="1"/>
    <col min="11020" max="11020" width="14.875" style="212" customWidth="1"/>
    <col min="11021" max="11260" width="9.125" style="212" customWidth="1"/>
    <col min="11261" max="11261" width="5.625" style="212" customWidth="1"/>
    <col min="11262" max="11262" width="33.625" style="212" customWidth="1"/>
    <col min="11263" max="11263" width="15.625" style="212" customWidth="1"/>
    <col min="11264" max="11264" width="9.625" style="212" customWidth="1"/>
    <col min="11265" max="11265" width="11.75390625" style="212" customWidth="1"/>
    <col min="11266" max="11266" width="13.125" style="212" customWidth="1"/>
    <col min="11267" max="11267" width="9.125" style="212" customWidth="1"/>
    <col min="11268" max="11268" width="9.25390625" style="212" bestFit="1" customWidth="1"/>
    <col min="11269" max="11269" width="12.125" style="212" customWidth="1"/>
    <col min="11270" max="11270" width="12.75390625" style="212" customWidth="1"/>
    <col min="11271" max="11271" width="9.375" style="212" customWidth="1"/>
    <col min="11272" max="11272" width="9.25390625" style="212" bestFit="1" customWidth="1"/>
    <col min="11273" max="11273" width="13.125" style="212" customWidth="1"/>
    <col min="11274" max="11274" width="13.625" style="212" customWidth="1"/>
    <col min="11275" max="11275" width="9.625" style="212" customWidth="1"/>
    <col min="11276" max="11276" width="14.875" style="212" customWidth="1"/>
    <col min="11277" max="11516" width="9.125" style="212" customWidth="1"/>
    <col min="11517" max="11517" width="5.625" style="212" customWidth="1"/>
    <col min="11518" max="11518" width="33.625" style="212" customWidth="1"/>
    <col min="11519" max="11519" width="15.625" style="212" customWidth="1"/>
    <col min="11520" max="11520" width="9.625" style="212" customWidth="1"/>
    <col min="11521" max="11521" width="11.75390625" style="212" customWidth="1"/>
    <col min="11522" max="11522" width="13.125" style="212" customWidth="1"/>
    <col min="11523" max="11523" width="9.125" style="212" customWidth="1"/>
    <col min="11524" max="11524" width="9.25390625" style="212" bestFit="1" customWidth="1"/>
    <col min="11525" max="11525" width="12.125" style="212" customWidth="1"/>
    <col min="11526" max="11526" width="12.75390625" style="212" customWidth="1"/>
    <col min="11527" max="11527" width="9.375" style="212" customWidth="1"/>
    <col min="11528" max="11528" width="9.25390625" style="212" bestFit="1" customWidth="1"/>
    <col min="11529" max="11529" width="13.125" style="212" customWidth="1"/>
    <col min="11530" max="11530" width="13.625" style="212" customWidth="1"/>
    <col min="11531" max="11531" width="9.625" style="212" customWidth="1"/>
    <col min="11532" max="11532" width="14.875" style="212" customWidth="1"/>
    <col min="11533" max="11772" width="9.125" style="212" customWidth="1"/>
    <col min="11773" max="11773" width="5.625" style="212" customWidth="1"/>
    <col min="11774" max="11774" width="33.625" style="212" customWidth="1"/>
    <col min="11775" max="11775" width="15.625" style="212" customWidth="1"/>
    <col min="11776" max="11776" width="9.625" style="212" customWidth="1"/>
    <col min="11777" max="11777" width="11.75390625" style="212" customWidth="1"/>
    <col min="11778" max="11778" width="13.125" style="212" customWidth="1"/>
    <col min="11779" max="11779" width="9.125" style="212" customWidth="1"/>
    <col min="11780" max="11780" width="9.25390625" style="212" bestFit="1" customWidth="1"/>
    <col min="11781" max="11781" width="12.125" style="212" customWidth="1"/>
    <col min="11782" max="11782" width="12.75390625" style="212" customWidth="1"/>
    <col min="11783" max="11783" width="9.375" style="212" customWidth="1"/>
    <col min="11784" max="11784" width="9.25390625" style="212" bestFit="1" customWidth="1"/>
    <col min="11785" max="11785" width="13.125" style="212" customWidth="1"/>
    <col min="11786" max="11786" width="13.625" style="212" customWidth="1"/>
    <col min="11787" max="11787" width="9.625" style="212" customWidth="1"/>
    <col min="11788" max="11788" width="14.875" style="212" customWidth="1"/>
    <col min="11789" max="12028" width="9.125" style="212" customWidth="1"/>
    <col min="12029" max="12029" width="5.625" style="212" customWidth="1"/>
    <col min="12030" max="12030" width="33.625" style="212" customWidth="1"/>
    <col min="12031" max="12031" width="15.625" style="212" customWidth="1"/>
    <col min="12032" max="12032" width="9.625" style="212" customWidth="1"/>
    <col min="12033" max="12033" width="11.75390625" style="212" customWidth="1"/>
    <col min="12034" max="12034" width="13.125" style="212" customWidth="1"/>
    <col min="12035" max="12035" width="9.125" style="212" customWidth="1"/>
    <col min="12036" max="12036" width="9.25390625" style="212" bestFit="1" customWidth="1"/>
    <col min="12037" max="12037" width="12.125" style="212" customWidth="1"/>
    <col min="12038" max="12038" width="12.75390625" style="212" customWidth="1"/>
    <col min="12039" max="12039" width="9.375" style="212" customWidth="1"/>
    <col min="12040" max="12040" width="9.25390625" style="212" bestFit="1" customWidth="1"/>
    <col min="12041" max="12041" width="13.125" style="212" customWidth="1"/>
    <col min="12042" max="12042" width="13.625" style="212" customWidth="1"/>
    <col min="12043" max="12043" width="9.625" style="212" customWidth="1"/>
    <col min="12044" max="12044" width="14.875" style="212" customWidth="1"/>
    <col min="12045" max="12284" width="9.125" style="212" customWidth="1"/>
    <col min="12285" max="12285" width="5.625" style="212" customWidth="1"/>
    <col min="12286" max="12286" width="33.625" style="212" customWidth="1"/>
    <col min="12287" max="12287" width="15.625" style="212" customWidth="1"/>
    <col min="12288" max="12288" width="9.625" style="212" customWidth="1"/>
    <col min="12289" max="12289" width="11.75390625" style="212" customWidth="1"/>
    <col min="12290" max="12290" width="13.125" style="212" customWidth="1"/>
    <col min="12291" max="12291" width="9.125" style="212" customWidth="1"/>
    <col min="12292" max="12292" width="9.25390625" style="212" bestFit="1" customWidth="1"/>
    <col min="12293" max="12293" width="12.125" style="212" customWidth="1"/>
    <col min="12294" max="12294" width="12.75390625" style="212" customWidth="1"/>
    <col min="12295" max="12295" width="9.375" style="212" customWidth="1"/>
    <col min="12296" max="12296" width="9.25390625" style="212" bestFit="1" customWidth="1"/>
    <col min="12297" max="12297" width="13.125" style="212" customWidth="1"/>
    <col min="12298" max="12298" width="13.625" style="212" customWidth="1"/>
    <col min="12299" max="12299" width="9.625" style="212" customWidth="1"/>
    <col min="12300" max="12300" width="14.875" style="212" customWidth="1"/>
    <col min="12301" max="12540" width="9.125" style="212" customWidth="1"/>
    <col min="12541" max="12541" width="5.625" style="212" customWidth="1"/>
    <col min="12542" max="12542" width="33.625" style="212" customWidth="1"/>
    <col min="12543" max="12543" width="15.625" style="212" customWidth="1"/>
    <col min="12544" max="12544" width="9.625" style="212" customWidth="1"/>
    <col min="12545" max="12545" width="11.75390625" style="212" customWidth="1"/>
    <col min="12546" max="12546" width="13.125" style="212" customWidth="1"/>
    <col min="12547" max="12547" width="9.125" style="212" customWidth="1"/>
    <col min="12548" max="12548" width="9.25390625" style="212" bestFit="1" customWidth="1"/>
    <col min="12549" max="12549" width="12.125" style="212" customWidth="1"/>
    <col min="12550" max="12550" width="12.75390625" style="212" customWidth="1"/>
    <col min="12551" max="12551" width="9.375" style="212" customWidth="1"/>
    <col min="12552" max="12552" width="9.25390625" style="212" bestFit="1" customWidth="1"/>
    <col min="12553" max="12553" width="13.125" style="212" customWidth="1"/>
    <col min="12554" max="12554" width="13.625" style="212" customWidth="1"/>
    <col min="12555" max="12555" width="9.625" style="212" customWidth="1"/>
    <col min="12556" max="12556" width="14.875" style="212" customWidth="1"/>
    <col min="12557" max="12796" width="9.125" style="212" customWidth="1"/>
    <col min="12797" max="12797" width="5.625" style="212" customWidth="1"/>
    <col min="12798" max="12798" width="33.625" style="212" customWidth="1"/>
    <col min="12799" max="12799" width="15.625" style="212" customWidth="1"/>
    <col min="12800" max="12800" width="9.625" style="212" customWidth="1"/>
    <col min="12801" max="12801" width="11.75390625" style="212" customWidth="1"/>
    <col min="12802" max="12802" width="13.125" style="212" customWidth="1"/>
    <col min="12803" max="12803" width="9.125" style="212" customWidth="1"/>
    <col min="12804" max="12804" width="9.25390625" style="212" bestFit="1" customWidth="1"/>
    <col min="12805" max="12805" width="12.125" style="212" customWidth="1"/>
    <col min="12806" max="12806" width="12.75390625" style="212" customWidth="1"/>
    <col min="12807" max="12807" width="9.375" style="212" customWidth="1"/>
    <col min="12808" max="12808" width="9.25390625" style="212" bestFit="1" customWidth="1"/>
    <col min="12809" max="12809" width="13.125" style="212" customWidth="1"/>
    <col min="12810" max="12810" width="13.625" style="212" customWidth="1"/>
    <col min="12811" max="12811" width="9.625" style="212" customWidth="1"/>
    <col min="12812" max="12812" width="14.875" style="212" customWidth="1"/>
    <col min="12813" max="13052" width="9.125" style="212" customWidth="1"/>
    <col min="13053" max="13053" width="5.625" style="212" customWidth="1"/>
    <col min="13054" max="13054" width="33.625" style="212" customWidth="1"/>
    <col min="13055" max="13055" width="15.625" style="212" customWidth="1"/>
    <col min="13056" max="13056" width="9.625" style="212" customWidth="1"/>
    <col min="13057" max="13057" width="11.75390625" style="212" customWidth="1"/>
    <col min="13058" max="13058" width="13.125" style="212" customWidth="1"/>
    <col min="13059" max="13059" width="9.125" style="212" customWidth="1"/>
    <col min="13060" max="13060" width="9.25390625" style="212" bestFit="1" customWidth="1"/>
    <col min="13061" max="13061" width="12.125" style="212" customWidth="1"/>
    <col min="13062" max="13062" width="12.75390625" style="212" customWidth="1"/>
    <col min="13063" max="13063" width="9.375" style="212" customWidth="1"/>
    <col min="13064" max="13064" width="9.25390625" style="212" bestFit="1" customWidth="1"/>
    <col min="13065" max="13065" width="13.125" style="212" customWidth="1"/>
    <col min="13066" max="13066" width="13.625" style="212" customWidth="1"/>
    <col min="13067" max="13067" width="9.625" style="212" customWidth="1"/>
    <col min="13068" max="13068" width="14.875" style="212" customWidth="1"/>
    <col min="13069" max="13308" width="9.125" style="212" customWidth="1"/>
    <col min="13309" max="13309" width="5.625" style="212" customWidth="1"/>
    <col min="13310" max="13310" width="33.625" style="212" customWidth="1"/>
    <col min="13311" max="13311" width="15.625" style="212" customWidth="1"/>
    <col min="13312" max="13312" width="9.625" style="212" customWidth="1"/>
    <col min="13313" max="13313" width="11.75390625" style="212" customWidth="1"/>
    <col min="13314" max="13314" width="13.125" style="212" customWidth="1"/>
    <col min="13315" max="13315" width="9.125" style="212" customWidth="1"/>
    <col min="13316" max="13316" width="9.25390625" style="212" bestFit="1" customWidth="1"/>
    <col min="13317" max="13317" width="12.125" style="212" customWidth="1"/>
    <col min="13318" max="13318" width="12.75390625" style="212" customWidth="1"/>
    <col min="13319" max="13319" width="9.375" style="212" customWidth="1"/>
    <col min="13320" max="13320" width="9.25390625" style="212" bestFit="1" customWidth="1"/>
    <col min="13321" max="13321" width="13.125" style="212" customWidth="1"/>
    <col min="13322" max="13322" width="13.625" style="212" customWidth="1"/>
    <col min="13323" max="13323" width="9.625" style="212" customWidth="1"/>
    <col min="13324" max="13324" width="14.875" style="212" customWidth="1"/>
    <col min="13325" max="13564" width="9.125" style="212" customWidth="1"/>
    <col min="13565" max="13565" width="5.625" style="212" customWidth="1"/>
    <col min="13566" max="13566" width="33.625" style="212" customWidth="1"/>
    <col min="13567" max="13567" width="15.625" style="212" customWidth="1"/>
    <col min="13568" max="13568" width="9.625" style="212" customWidth="1"/>
    <col min="13569" max="13569" width="11.75390625" style="212" customWidth="1"/>
    <col min="13570" max="13570" width="13.125" style="212" customWidth="1"/>
    <col min="13571" max="13571" width="9.125" style="212" customWidth="1"/>
    <col min="13572" max="13572" width="9.25390625" style="212" bestFit="1" customWidth="1"/>
    <col min="13573" max="13573" width="12.125" style="212" customWidth="1"/>
    <col min="13574" max="13574" width="12.75390625" style="212" customWidth="1"/>
    <col min="13575" max="13575" width="9.375" style="212" customWidth="1"/>
    <col min="13576" max="13576" width="9.25390625" style="212" bestFit="1" customWidth="1"/>
    <col min="13577" max="13577" width="13.125" style="212" customWidth="1"/>
    <col min="13578" max="13578" width="13.625" style="212" customWidth="1"/>
    <col min="13579" max="13579" width="9.625" style="212" customWidth="1"/>
    <col min="13580" max="13580" width="14.875" style="212" customWidth="1"/>
    <col min="13581" max="13820" width="9.125" style="212" customWidth="1"/>
    <col min="13821" max="13821" width="5.625" style="212" customWidth="1"/>
    <col min="13822" max="13822" width="33.625" style="212" customWidth="1"/>
    <col min="13823" max="13823" width="15.625" style="212" customWidth="1"/>
    <col min="13824" max="13824" width="9.625" style="212" customWidth="1"/>
    <col min="13825" max="13825" width="11.75390625" style="212" customWidth="1"/>
    <col min="13826" max="13826" width="13.125" style="212" customWidth="1"/>
    <col min="13827" max="13827" width="9.125" style="212" customWidth="1"/>
    <col min="13828" max="13828" width="9.25390625" style="212" bestFit="1" customWidth="1"/>
    <col min="13829" max="13829" width="12.125" style="212" customWidth="1"/>
    <col min="13830" max="13830" width="12.75390625" style="212" customWidth="1"/>
    <col min="13831" max="13831" width="9.375" style="212" customWidth="1"/>
    <col min="13832" max="13832" width="9.25390625" style="212" bestFit="1" customWidth="1"/>
    <col min="13833" max="13833" width="13.125" style="212" customWidth="1"/>
    <col min="13834" max="13834" width="13.625" style="212" customWidth="1"/>
    <col min="13835" max="13835" width="9.625" style="212" customWidth="1"/>
    <col min="13836" max="13836" width="14.875" style="212" customWidth="1"/>
    <col min="13837" max="14076" width="9.125" style="212" customWidth="1"/>
    <col min="14077" max="14077" width="5.625" style="212" customWidth="1"/>
    <col min="14078" max="14078" width="33.625" style="212" customWidth="1"/>
    <col min="14079" max="14079" width="15.625" style="212" customWidth="1"/>
    <col min="14080" max="14080" width="9.625" style="212" customWidth="1"/>
    <col min="14081" max="14081" width="11.75390625" style="212" customWidth="1"/>
    <col min="14082" max="14082" width="13.125" style="212" customWidth="1"/>
    <col min="14083" max="14083" width="9.125" style="212" customWidth="1"/>
    <col min="14084" max="14084" width="9.25390625" style="212" bestFit="1" customWidth="1"/>
    <col min="14085" max="14085" width="12.125" style="212" customWidth="1"/>
    <col min="14086" max="14086" width="12.75390625" style="212" customWidth="1"/>
    <col min="14087" max="14087" width="9.375" style="212" customWidth="1"/>
    <col min="14088" max="14088" width="9.25390625" style="212" bestFit="1" customWidth="1"/>
    <col min="14089" max="14089" width="13.125" style="212" customWidth="1"/>
    <col min="14090" max="14090" width="13.625" style="212" customWidth="1"/>
    <col min="14091" max="14091" width="9.625" style="212" customWidth="1"/>
    <col min="14092" max="14092" width="14.875" style="212" customWidth="1"/>
    <col min="14093" max="14332" width="9.125" style="212" customWidth="1"/>
    <col min="14333" max="14333" width="5.625" style="212" customWidth="1"/>
    <col min="14334" max="14334" width="33.625" style="212" customWidth="1"/>
    <col min="14335" max="14335" width="15.625" style="212" customWidth="1"/>
    <col min="14336" max="14336" width="9.625" style="212" customWidth="1"/>
    <col min="14337" max="14337" width="11.75390625" style="212" customWidth="1"/>
    <col min="14338" max="14338" width="13.125" style="212" customWidth="1"/>
    <col min="14339" max="14339" width="9.125" style="212" customWidth="1"/>
    <col min="14340" max="14340" width="9.25390625" style="212" bestFit="1" customWidth="1"/>
    <col min="14341" max="14341" width="12.125" style="212" customWidth="1"/>
    <col min="14342" max="14342" width="12.75390625" style="212" customWidth="1"/>
    <col min="14343" max="14343" width="9.375" style="212" customWidth="1"/>
    <col min="14344" max="14344" width="9.25390625" style="212" bestFit="1" customWidth="1"/>
    <col min="14345" max="14345" width="13.125" style="212" customWidth="1"/>
    <col min="14346" max="14346" width="13.625" style="212" customWidth="1"/>
    <col min="14347" max="14347" width="9.625" style="212" customWidth="1"/>
    <col min="14348" max="14348" width="14.875" style="212" customWidth="1"/>
    <col min="14349" max="14588" width="9.125" style="212" customWidth="1"/>
    <col min="14589" max="14589" width="5.625" style="212" customWidth="1"/>
    <col min="14590" max="14590" width="33.625" style="212" customWidth="1"/>
    <col min="14591" max="14591" width="15.625" style="212" customWidth="1"/>
    <col min="14592" max="14592" width="9.625" style="212" customWidth="1"/>
    <col min="14593" max="14593" width="11.75390625" style="212" customWidth="1"/>
    <col min="14594" max="14594" width="13.125" style="212" customWidth="1"/>
    <col min="14595" max="14595" width="9.125" style="212" customWidth="1"/>
    <col min="14596" max="14596" width="9.25390625" style="212" bestFit="1" customWidth="1"/>
    <col min="14597" max="14597" width="12.125" style="212" customWidth="1"/>
    <col min="14598" max="14598" width="12.75390625" style="212" customWidth="1"/>
    <col min="14599" max="14599" width="9.375" style="212" customWidth="1"/>
    <col min="14600" max="14600" width="9.25390625" style="212" bestFit="1" customWidth="1"/>
    <col min="14601" max="14601" width="13.125" style="212" customWidth="1"/>
    <col min="14602" max="14602" width="13.625" style="212" customWidth="1"/>
    <col min="14603" max="14603" width="9.625" style="212" customWidth="1"/>
    <col min="14604" max="14604" width="14.875" style="212" customWidth="1"/>
    <col min="14605" max="14844" width="9.125" style="212" customWidth="1"/>
    <col min="14845" max="14845" width="5.625" style="212" customWidth="1"/>
    <col min="14846" max="14846" width="33.625" style="212" customWidth="1"/>
    <col min="14847" max="14847" width="15.625" style="212" customWidth="1"/>
    <col min="14848" max="14848" width="9.625" style="212" customWidth="1"/>
    <col min="14849" max="14849" width="11.75390625" style="212" customWidth="1"/>
    <col min="14850" max="14850" width="13.125" style="212" customWidth="1"/>
    <col min="14851" max="14851" width="9.125" style="212" customWidth="1"/>
    <col min="14852" max="14852" width="9.25390625" style="212" bestFit="1" customWidth="1"/>
    <col min="14853" max="14853" width="12.125" style="212" customWidth="1"/>
    <col min="14854" max="14854" width="12.75390625" style="212" customWidth="1"/>
    <col min="14855" max="14855" width="9.375" style="212" customWidth="1"/>
    <col min="14856" max="14856" width="9.25390625" style="212" bestFit="1" customWidth="1"/>
    <col min="14857" max="14857" width="13.125" style="212" customWidth="1"/>
    <col min="14858" max="14858" width="13.625" style="212" customWidth="1"/>
    <col min="14859" max="14859" width="9.625" style="212" customWidth="1"/>
    <col min="14860" max="14860" width="14.875" style="212" customWidth="1"/>
    <col min="14861" max="15100" width="9.125" style="212" customWidth="1"/>
    <col min="15101" max="15101" width="5.625" style="212" customWidth="1"/>
    <col min="15102" max="15102" width="33.625" style="212" customWidth="1"/>
    <col min="15103" max="15103" width="15.625" style="212" customWidth="1"/>
    <col min="15104" max="15104" width="9.625" style="212" customWidth="1"/>
    <col min="15105" max="15105" width="11.75390625" style="212" customWidth="1"/>
    <col min="15106" max="15106" width="13.125" style="212" customWidth="1"/>
    <col min="15107" max="15107" width="9.125" style="212" customWidth="1"/>
    <col min="15108" max="15108" width="9.25390625" style="212" bestFit="1" customWidth="1"/>
    <col min="15109" max="15109" width="12.125" style="212" customWidth="1"/>
    <col min="15110" max="15110" width="12.75390625" style="212" customWidth="1"/>
    <col min="15111" max="15111" width="9.375" style="212" customWidth="1"/>
    <col min="15112" max="15112" width="9.25390625" style="212" bestFit="1" customWidth="1"/>
    <col min="15113" max="15113" width="13.125" style="212" customWidth="1"/>
    <col min="15114" max="15114" width="13.625" style="212" customWidth="1"/>
    <col min="15115" max="15115" width="9.625" style="212" customWidth="1"/>
    <col min="15116" max="15116" width="14.875" style="212" customWidth="1"/>
    <col min="15117" max="15356" width="9.125" style="212" customWidth="1"/>
    <col min="15357" max="15357" width="5.625" style="212" customWidth="1"/>
    <col min="15358" max="15358" width="33.625" style="212" customWidth="1"/>
    <col min="15359" max="15359" width="15.625" style="212" customWidth="1"/>
    <col min="15360" max="15360" width="9.625" style="212" customWidth="1"/>
    <col min="15361" max="15361" width="11.75390625" style="212" customWidth="1"/>
    <col min="15362" max="15362" width="13.125" style="212" customWidth="1"/>
    <col min="15363" max="15363" width="9.125" style="212" customWidth="1"/>
    <col min="15364" max="15364" width="9.25390625" style="212" bestFit="1" customWidth="1"/>
    <col min="15365" max="15365" width="12.125" style="212" customWidth="1"/>
    <col min="15366" max="15366" width="12.75390625" style="212" customWidth="1"/>
    <col min="15367" max="15367" width="9.375" style="212" customWidth="1"/>
    <col min="15368" max="15368" width="9.25390625" style="212" bestFit="1" customWidth="1"/>
    <col min="15369" max="15369" width="13.125" style="212" customWidth="1"/>
    <col min="15370" max="15370" width="13.625" style="212" customWidth="1"/>
    <col min="15371" max="15371" width="9.625" style="212" customWidth="1"/>
    <col min="15372" max="15372" width="14.875" style="212" customWidth="1"/>
    <col min="15373" max="15612" width="9.125" style="212" customWidth="1"/>
    <col min="15613" max="15613" width="5.625" style="212" customWidth="1"/>
    <col min="15614" max="15614" width="33.625" style="212" customWidth="1"/>
    <col min="15615" max="15615" width="15.625" style="212" customWidth="1"/>
    <col min="15616" max="15616" width="9.625" style="212" customWidth="1"/>
    <col min="15617" max="15617" width="11.75390625" style="212" customWidth="1"/>
    <col min="15618" max="15618" width="13.125" style="212" customWidth="1"/>
    <col min="15619" max="15619" width="9.125" style="212" customWidth="1"/>
    <col min="15620" max="15620" width="9.25390625" style="212" bestFit="1" customWidth="1"/>
    <col min="15621" max="15621" width="12.125" style="212" customWidth="1"/>
    <col min="15622" max="15622" width="12.75390625" style="212" customWidth="1"/>
    <col min="15623" max="15623" width="9.375" style="212" customWidth="1"/>
    <col min="15624" max="15624" width="9.25390625" style="212" bestFit="1" customWidth="1"/>
    <col min="15625" max="15625" width="13.125" style="212" customWidth="1"/>
    <col min="15626" max="15626" width="13.625" style="212" customWidth="1"/>
    <col min="15627" max="15627" width="9.625" style="212" customWidth="1"/>
    <col min="15628" max="15628" width="14.875" style="212" customWidth="1"/>
    <col min="15629" max="15868" width="9.125" style="212" customWidth="1"/>
    <col min="15869" max="15869" width="5.625" style="212" customWidth="1"/>
    <col min="15870" max="15870" width="33.625" style="212" customWidth="1"/>
    <col min="15871" max="15871" width="15.625" style="212" customWidth="1"/>
    <col min="15872" max="15872" width="9.625" style="212" customWidth="1"/>
    <col min="15873" max="15873" width="11.75390625" style="212" customWidth="1"/>
    <col min="15874" max="15874" width="13.125" style="212" customWidth="1"/>
    <col min="15875" max="15875" width="9.125" style="212" customWidth="1"/>
    <col min="15876" max="15876" width="9.25390625" style="212" bestFit="1" customWidth="1"/>
    <col min="15877" max="15877" width="12.125" style="212" customWidth="1"/>
    <col min="15878" max="15878" width="12.75390625" style="212" customWidth="1"/>
    <col min="15879" max="15879" width="9.375" style="212" customWidth="1"/>
    <col min="15880" max="15880" width="9.25390625" style="212" bestFit="1" customWidth="1"/>
    <col min="15881" max="15881" width="13.125" style="212" customWidth="1"/>
    <col min="15882" max="15882" width="13.625" style="212" customWidth="1"/>
    <col min="15883" max="15883" width="9.625" style="212" customWidth="1"/>
    <col min="15884" max="15884" width="14.875" style="212" customWidth="1"/>
    <col min="15885" max="16124" width="9.125" style="212" customWidth="1"/>
    <col min="16125" max="16125" width="5.625" style="212" customWidth="1"/>
    <col min="16126" max="16126" width="33.625" style="212" customWidth="1"/>
    <col min="16127" max="16127" width="15.625" style="212" customWidth="1"/>
    <col min="16128" max="16128" width="9.625" style="212" customWidth="1"/>
    <col min="16129" max="16129" width="11.75390625" style="212" customWidth="1"/>
    <col min="16130" max="16130" width="13.125" style="212" customWidth="1"/>
    <col min="16131" max="16131" width="9.125" style="212" customWidth="1"/>
    <col min="16132" max="16132" width="9.25390625" style="212" bestFit="1" customWidth="1"/>
    <col min="16133" max="16133" width="12.125" style="212" customWidth="1"/>
    <col min="16134" max="16134" width="12.75390625" style="212" customWidth="1"/>
    <col min="16135" max="16135" width="9.375" style="212" customWidth="1"/>
    <col min="16136" max="16136" width="9.25390625" style="212" bestFit="1" customWidth="1"/>
    <col min="16137" max="16137" width="13.125" style="212" customWidth="1"/>
    <col min="16138" max="16138" width="13.625" style="212" customWidth="1"/>
    <col min="16139" max="16139" width="9.625" style="212" customWidth="1"/>
    <col min="16140" max="16140" width="14.875" style="212" customWidth="1"/>
    <col min="16141" max="16384" width="9.125" style="212" customWidth="1"/>
  </cols>
  <sheetData>
    <row r="1" spans="3:12" ht="12.75">
      <c r="C1" s="300" t="s">
        <v>1119</v>
      </c>
      <c r="D1" s="300"/>
      <c r="E1" s="300"/>
      <c r="F1" s="300"/>
      <c r="G1" s="300"/>
      <c r="H1" s="300"/>
      <c r="I1" s="300"/>
      <c r="J1" s="300"/>
      <c r="K1" s="300"/>
      <c r="L1" s="300"/>
    </row>
    <row r="2" spans="3:12" ht="12.75">
      <c r="C2" s="300" t="s">
        <v>656</v>
      </c>
      <c r="D2" s="300"/>
      <c r="E2" s="300"/>
      <c r="F2" s="300"/>
      <c r="G2" s="300"/>
      <c r="H2" s="300"/>
      <c r="I2" s="300"/>
      <c r="J2" s="300"/>
      <c r="K2" s="300"/>
      <c r="L2" s="300"/>
    </row>
    <row r="3" spans="3:12" ht="12.75">
      <c r="C3" s="300" t="s">
        <v>1153</v>
      </c>
      <c r="D3" s="300"/>
      <c r="E3" s="300"/>
      <c r="F3" s="300"/>
      <c r="G3" s="300"/>
      <c r="H3" s="300"/>
      <c r="I3" s="300"/>
      <c r="J3" s="300"/>
      <c r="K3" s="300"/>
      <c r="L3" s="300"/>
    </row>
    <row r="5" spans="1:12" ht="12.75">
      <c r="A5" s="311" t="s">
        <v>657</v>
      </c>
      <c r="B5" s="311"/>
      <c r="C5" s="311"/>
      <c r="D5" s="311"/>
      <c r="E5" s="311"/>
      <c r="F5" s="311"/>
      <c r="G5" s="311"/>
      <c r="H5" s="311"/>
      <c r="I5" s="311"/>
      <c r="J5" s="311"/>
      <c r="K5" s="311"/>
      <c r="L5" s="311"/>
    </row>
    <row r="6" spans="1:12" ht="12.75">
      <c r="A6" s="311" t="s">
        <v>684</v>
      </c>
      <c r="B6" s="311"/>
      <c r="C6" s="311"/>
      <c r="D6" s="311"/>
      <c r="E6" s="311"/>
      <c r="F6" s="311"/>
      <c r="G6" s="311"/>
      <c r="H6" s="311"/>
      <c r="I6" s="311"/>
      <c r="J6" s="311"/>
      <c r="K6" s="311"/>
      <c r="L6" s="311"/>
    </row>
    <row r="8" spans="1:12" ht="15.6" customHeight="1">
      <c r="A8" s="306" t="s">
        <v>658</v>
      </c>
      <c r="B8" s="307" t="s">
        <v>659</v>
      </c>
      <c r="C8" s="306" t="s">
        <v>660</v>
      </c>
      <c r="D8" s="308" t="s">
        <v>661</v>
      </c>
      <c r="E8" s="309"/>
      <c r="F8" s="309"/>
      <c r="G8" s="309"/>
      <c r="H8" s="310" t="s">
        <v>687</v>
      </c>
      <c r="I8" s="310"/>
      <c r="J8" s="310"/>
      <c r="K8" s="310"/>
      <c r="L8" s="306" t="s">
        <v>662</v>
      </c>
    </row>
    <row r="9" spans="1:12" ht="94.5">
      <c r="A9" s="306"/>
      <c r="B9" s="307"/>
      <c r="C9" s="306"/>
      <c r="D9" s="215" t="s">
        <v>663</v>
      </c>
      <c r="E9" s="215" t="s">
        <v>664</v>
      </c>
      <c r="F9" s="215" t="s">
        <v>665</v>
      </c>
      <c r="G9" s="216" t="s">
        <v>666</v>
      </c>
      <c r="H9" s="215" t="s">
        <v>663</v>
      </c>
      <c r="I9" s="215" t="s">
        <v>664</v>
      </c>
      <c r="J9" s="215" t="s">
        <v>665</v>
      </c>
      <c r="K9" s="216" t="s">
        <v>666</v>
      </c>
      <c r="L9" s="306"/>
    </row>
    <row r="10" spans="1:12" ht="15.75" customHeight="1">
      <c r="A10" s="257">
        <v>1</v>
      </c>
      <c r="B10" s="217" t="s">
        <v>50</v>
      </c>
      <c r="C10" s="215" t="s">
        <v>667</v>
      </c>
      <c r="D10" s="218">
        <f aca="true" t="shared" si="0" ref="D10:K11">D11</f>
        <v>198</v>
      </c>
      <c r="E10" s="218">
        <f t="shared" si="0"/>
        <v>0</v>
      </c>
      <c r="F10" s="218">
        <f t="shared" si="0"/>
        <v>0</v>
      </c>
      <c r="G10" s="218">
        <f aca="true" t="shared" si="1" ref="G10:G15">D10+E10+F10</f>
        <v>198</v>
      </c>
      <c r="H10" s="218">
        <f t="shared" si="0"/>
        <v>198</v>
      </c>
      <c r="I10" s="218">
        <f t="shared" si="0"/>
        <v>0</v>
      </c>
      <c r="J10" s="218">
        <f t="shared" si="0"/>
        <v>0</v>
      </c>
      <c r="K10" s="218">
        <f t="shared" si="0"/>
        <v>198</v>
      </c>
      <c r="L10" s="219" t="s">
        <v>84</v>
      </c>
    </row>
    <row r="11" spans="1:12" ht="12.75">
      <c r="A11" s="257" t="s">
        <v>668</v>
      </c>
      <c r="B11" s="217" t="s">
        <v>51</v>
      </c>
      <c r="C11" s="215" t="s">
        <v>667</v>
      </c>
      <c r="D11" s="220">
        <f>D12</f>
        <v>198</v>
      </c>
      <c r="E11" s="220">
        <f t="shared" si="0"/>
        <v>0</v>
      </c>
      <c r="F11" s="220">
        <f t="shared" si="0"/>
        <v>0</v>
      </c>
      <c r="G11" s="218">
        <f t="shared" si="1"/>
        <v>198</v>
      </c>
      <c r="H11" s="220">
        <f>H12</f>
        <v>198</v>
      </c>
      <c r="I11" s="220">
        <f t="shared" si="0"/>
        <v>0</v>
      </c>
      <c r="J11" s="220">
        <f t="shared" si="0"/>
        <v>0</v>
      </c>
      <c r="K11" s="220">
        <f>K12</f>
        <v>198</v>
      </c>
      <c r="L11" s="219" t="s">
        <v>75</v>
      </c>
    </row>
    <row r="12" spans="1:12" ht="64.15" customHeight="1">
      <c r="A12" s="221" t="s">
        <v>669</v>
      </c>
      <c r="B12" s="221" t="s">
        <v>671</v>
      </c>
      <c r="C12" s="222" t="s">
        <v>670</v>
      </c>
      <c r="D12" s="223">
        <f>'№6'!F156</f>
        <v>198</v>
      </c>
      <c r="E12" s="223">
        <v>0</v>
      </c>
      <c r="F12" s="223">
        <v>0</v>
      </c>
      <c r="G12" s="224">
        <f t="shared" si="1"/>
        <v>198</v>
      </c>
      <c r="H12" s="223">
        <f>'№6'!G156</f>
        <v>198</v>
      </c>
      <c r="I12" s="223">
        <v>0</v>
      </c>
      <c r="J12" s="223">
        <v>0</v>
      </c>
      <c r="K12" s="224">
        <f>H12+I12+J12</f>
        <v>198</v>
      </c>
      <c r="L12" s="225" t="s">
        <v>75</v>
      </c>
    </row>
    <row r="13" spans="1:12" ht="12.75">
      <c r="A13" s="226" t="s">
        <v>672</v>
      </c>
      <c r="B13" s="226" t="s">
        <v>56</v>
      </c>
      <c r="C13" s="227" t="s">
        <v>667</v>
      </c>
      <c r="D13" s="218">
        <f>D14</f>
        <v>0</v>
      </c>
      <c r="E13" s="218">
        <f aca="true" t="shared" si="2" ref="E13:J14">E14</f>
        <v>4608.4</v>
      </c>
      <c r="F13" s="218">
        <f t="shared" si="2"/>
        <v>744.6</v>
      </c>
      <c r="G13" s="218">
        <f t="shared" si="1"/>
        <v>5353</v>
      </c>
      <c r="H13" s="218">
        <f t="shared" si="2"/>
        <v>0</v>
      </c>
      <c r="I13" s="218">
        <f t="shared" si="2"/>
        <v>4608.4</v>
      </c>
      <c r="J13" s="218">
        <f t="shared" si="2"/>
        <v>744.6</v>
      </c>
      <c r="K13" s="218">
        <f>H13+I13+J13</f>
        <v>5353</v>
      </c>
      <c r="L13" s="225" t="s">
        <v>64</v>
      </c>
    </row>
    <row r="14" spans="1:12" ht="12.75">
      <c r="A14" s="226" t="s">
        <v>673</v>
      </c>
      <c r="B14" s="226" t="s">
        <v>126</v>
      </c>
      <c r="C14" s="227" t="s">
        <v>667</v>
      </c>
      <c r="D14" s="220">
        <f>D15</f>
        <v>0</v>
      </c>
      <c r="E14" s="220">
        <f t="shared" si="2"/>
        <v>4608.4</v>
      </c>
      <c r="F14" s="220">
        <f t="shared" si="2"/>
        <v>744.6</v>
      </c>
      <c r="G14" s="218">
        <f t="shared" si="1"/>
        <v>5353</v>
      </c>
      <c r="H14" s="220">
        <f>H15</f>
        <v>0</v>
      </c>
      <c r="I14" s="220">
        <f t="shared" si="2"/>
        <v>4608.4</v>
      </c>
      <c r="J14" s="220">
        <f t="shared" si="2"/>
        <v>744.6</v>
      </c>
      <c r="K14" s="218">
        <f>H14+I14+J14</f>
        <v>5353</v>
      </c>
      <c r="L14" s="219" t="s">
        <v>125</v>
      </c>
    </row>
    <row r="15" spans="1:12" ht="126.75" customHeight="1">
      <c r="A15" s="226" t="s">
        <v>674</v>
      </c>
      <c r="B15" s="226" t="s">
        <v>675</v>
      </c>
      <c r="C15" s="226" t="s">
        <v>521</v>
      </c>
      <c r="D15" s="223">
        <v>0</v>
      </c>
      <c r="E15" s="223">
        <v>4608.4</v>
      </c>
      <c r="F15" s="223">
        <v>744.6</v>
      </c>
      <c r="G15" s="218">
        <f t="shared" si="1"/>
        <v>5353</v>
      </c>
      <c r="H15" s="223">
        <v>0</v>
      </c>
      <c r="I15" s="223">
        <v>4608.4</v>
      </c>
      <c r="J15" s="223">
        <v>744.6</v>
      </c>
      <c r="K15" s="218">
        <f>H15+I15+J15</f>
        <v>5353</v>
      </c>
      <c r="L15" s="219" t="s">
        <v>125</v>
      </c>
    </row>
    <row r="16" spans="1:12" ht="15.75" customHeight="1">
      <c r="A16" s="215"/>
      <c r="B16" s="217" t="s">
        <v>676</v>
      </c>
      <c r="C16" s="215"/>
      <c r="D16" s="218">
        <f aca="true" t="shared" si="3" ref="D16:K16">D10+D13</f>
        <v>198</v>
      </c>
      <c r="E16" s="218">
        <f t="shared" si="3"/>
        <v>4608.4</v>
      </c>
      <c r="F16" s="218">
        <f t="shared" si="3"/>
        <v>744.6</v>
      </c>
      <c r="G16" s="218">
        <f t="shared" si="3"/>
        <v>5551</v>
      </c>
      <c r="H16" s="218">
        <f t="shared" si="3"/>
        <v>198</v>
      </c>
      <c r="I16" s="218">
        <f t="shared" si="3"/>
        <v>4608.4</v>
      </c>
      <c r="J16" s="218">
        <f t="shared" si="3"/>
        <v>744.6</v>
      </c>
      <c r="K16" s="218">
        <f t="shared" si="3"/>
        <v>5551</v>
      </c>
      <c r="L16" s="219" t="s">
        <v>667</v>
      </c>
    </row>
    <row r="17" spans="1:12" ht="14.25" customHeight="1">
      <c r="A17" s="229"/>
      <c r="B17" s="228"/>
      <c r="C17" s="229"/>
      <c r="D17" s="230"/>
      <c r="E17" s="230"/>
      <c r="F17" s="230"/>
      <c r="G17" s="231"/>
      <c r="H17" s="230"/>
      <c r="I17" s="230"/>
      <c r="J17" s="230"/>
      <c r="K17" s="231"/>
      <c r="L17" s="232"/>
    </row>
    <row r="18" spans="1:12" ht="2.25" customHeight="1" hidden="1">
      <c r="A18" s="229"/>
      <c r="B18" s="228"/>
      <c r="C18" s="229"/>
      <c r="D18" s="230"/>
      <c r="E18" s="230"/>
      <c r="F18" s="230"/>
      <c r="G18" s="231"/>
      <c r="H18" s="230"/>
      <c r="I18" s="230"/>
      <c r="J18" s="230"/>
      <c r="K18" s="231"/>
      <c r="L18" s="232"/>
    </row>
    <row r="19" spans="1:12" ht="12.75" hidden="1">
      <c r="A19" s="229"/>
      <c r="B19" s="228"/>
      <c r="C19" s="229"/>
      <c r="D19" s="230"/>
      <c r="E19" s="230"/>
      <c r="F19" s="230"/>
      <c r="G19" s="231"/>
      <c r="H19" s="230"/>
      <c r="I19" s="230"/>
      <c r="J19" s="230"/>
      <c r="K19" s="231"/>
      <c r="L19" s="232"/>
    </row>
    <row r="20" spans="1:12" ht="12.75" hidden="1">
      <c r="A20" s="229"/>
      <c r="B20" s="228"/>
      <c r="C20" s="229"/>
      <c r="D20" s="230" t="e">
        <f>D10+#REF!+#REF!</f>
        <v>#REF!</v>
      </c>
      <c r="E20" s="230" t="e">
        <f>E10+#REF!+#REF!</f>
        <v>#REF!</v>
      </c>
      <c r="F20" s="230" t="e">
        <f>F10+#REF!+#REF!</f>
        <v>#REF!</v>
      </c>
      <c r="G20" s="230" t="e">
        <f>G10+#REF!+#REF!</f>
        <v>#REF!</v>
      </c>
      <c r="H20" s="230" t="e">
        <f>H10+#REF!+#REF!</f>
        <v>#REF!</v>
      </c>
      <c r="I20" s="230" t="e">
        <f>I10+#REF!+#REF!</f>
        <v>#REF!</v>
      </c>
      <c r="J20" s="230" t="e">
        <f>J10+#REF!+#REF!</f>
        <v>#REF!</v>
      </c>
      <c r="K20" s="230" t="e">
        <f>K10+#REF!+#REF!</f>
        <v>#REF!</v>
      </c>
      <c r="L20" s="232"/>
    </row>
  </sheetData>
  <mergeCells count="11">
    <mergeCell ref="C1:L1"/>
    <mergeCell ref="C2:L2"/>
    <mergeCell ref="C3:L3"/>
    <mergeCell ref="A5:L5"/>
    <mergeCell ref="A6:L6"/>
    <mergeCell ref="A8:A9"/>
    <mergeCell ref="B8:B9"/>
    <mergeCell ref="C8:C9"/>
    <mergeCell ref="L8:L9"/>
    <mergeCell ref="D8:G8"/>
    <mergeCell ref="H8:K8"/>
  </mergeCells>
  <printOptions/>
  <pageMargins left="0.2755905511811024" right="0.35433070866141736" top="0.9055118110236221" bottom="0.35433070866141736" header="0.31496062992125984" footer="0.1968503937007874"/>
  <pageSetup fitToHeight="0" fitToWidth="1" horizontalDpi="600" verticalDpi="600" orientation="landscape" paperSize="9" scale="89" r:id="rId1"/>
</worksheet>
</file>

<file path=xl/worksheets/sheet13.xml><?xml version="1.0" encoding="utf-8"?>
<worksheet xmlns="http://schemas.openxmlformats.org/spreadsheetml/2006/main" xmlns:r="http://schemas.openxmlformats.org/officeDocument/2006/relationships">
  <sheetPr>
    <pageSetUpPr fitToPage="1"/>
  </sheetPr>
  <dimension ref="A1:F10"/>
  <sheetViews>
    <sheetView workbookViewId="0" topLeftCell="A1">
      <selection activeCell="C4" sqref="C4"/>
    </sheetView>
  </sheetViews>
  <sheetFormatPr defaultColWidth="9.125" defaultRowHeight="12.75"/>
  <cols>
    <col min="1" max="1" width="5.25390625" style="5" customWidth="1"/>
    <col min="2" max="2" width="37.75390625" style="6" customWidth="1"/>
    <col min="3" max="3" width="29.125" style="6" customWidth="1"/>
    <col min="4" max="4" width="7.25390625" style="5" customWidth="1"/>
    <col min="5" max="5" width="17.625" style="5" customWidth="1"/>
    <col min="6" max="6" width="14.375" style="6" customWidth="1"/>
    <col min="7" max="16384" width="9.125" style="6" customWidth="1"/>
  </cols>
  <sheetData>
    <row r="1" spans="3:6" ht="12.75">
      <c r="C1" s="8"/>
      <c r="D1" s="312" t="s">
        <v>1128</v>
      </c>
      <c r="E1" s="312"/>
      <c r="F1" s="312"/>
    </row>
    <row r="2" spans="3:6" ht="12.75">
      <c r="C2" s="312" t="s">
        <v>1154</v>
      </c>
      <c r="D2" s="312"/>
      <c r="E2" s="312"/>
      <c r="F2" s="312"/>
    </row>
    <row r="3" spans="3:6" ht="12.75">
      <c r="C3" s="312" t="s">
        <v>1155</v>
      </c>
      <c r="D3" s="312"/>
      <c r="E3" s="312"/>
      <c r="F3" s="312"/>
    </row>
    <row r="5" spans="1:6" ht="13.5" customHeight="1">
      <c r="A5" s="313" t="s">
        <v>1134</v>
      </c>
      <c r="B5" s="313"/>
      <c r="C5" s="313"/>
      <c r="D5" s="313"/>
      <c r="E5" s="313"/>
      <c r="F5" s="313"/>
    </row>
    <row r="6" spans="1:6" ht="15.75" customHeight="1">
      <c r="A6" s="314" t="s">
        <v>1139</v>
      </c>
      <c r="B6" s="314"/>
      <c r="C6" s="314"/>
      <c r="D6" s="314"/>
      <c r="E6" s="314"/>
      <c r="F6" s="314"/>
    </row>
    <row r="8" spans="1:6" ht="49.5">
      <c r="A8" s="131" t="s">
        <v>658</v>
      </c>
      <c r="B8" s="131" t="s">
        <v>1135</v>
      </c>
      <c r="C8" s="131" t="s">
        <v>1136</v>
      </c>
      <c r="D8" s="4" t="s">
        <v>1137</v>
      </c>
      <c r="E8" s="237" t="s">
        <v>686</v>
      </c>
      <c r="F8" s="131" t="s">
        <v>687</v>
      </c>
    </row>
    <row r="9" spans="1:6" ht="57.75" customHeight="1">
      <c r="A9" s="11">
        <v>1</v>
      </c>
      <c r="B9" s="1" t="s">
        <v>1140</v>
      </c>
      <c r="C9" s="245" t="s">
        <v>112</v>
      </c>
      <c r="D9" s="246" t="s">
        <v>76</v>
      </c>
      <c r="E9" s="13">
        <f>'№6'!F187</f>
        <v>500</v>
      </c>
      <c r="F9" s="13">
        <f>'№6'!G187</f>
        <v>500</v>
      </c>
    </row>
    <row r="10" spans="1:6" ht="18" customHeight="1">
      <c r="A10" s="10"/>
      <c r="B10" s="9" t="s">
        <v>1125</v>
      </c>
      <c r="C10" s="3"/>
      <c r="D10" s="2"/>
      <c r="E10" s="12">
        <f>E9</f>
        <v>500</v>
      </c>
      <c r="F10" s="12">
        <f>F9</f>
        <v>500</v>
      </c>
    </row>
  </sheetData>
  <mergeCells count="5">
    <mergeCell ref="D1:F1"/>
    <mergeCell ref="C2:F2"/>
    <mergeCell ref="C3:F3"/>
    <mergeCell ref="A5:F5"/>
    <mergeCell ref="A6:F6"/>
  </mergeCells>
  <printOptions/>
  <pageMargins left="0.7874015748031497" right="0.1968503937007874" top="0.3937007874015748" bottom="0.35433070866141736" header="0.31496062992125984" footer="0.31496062992125984"/>
  <pageSetup fitToHeight="0" fitToWidth="1"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D21"/>
  <sheetViews>
    <sheetView workbookViewId="0" topLeftCell="A1">
      <selection activeCell="B4" sqref="B4"/>
    </sheetView>
  </sheetViews>
  <sheetFormatPr defaultColWidth="14.75390625" defaultRowHeight="12.75"/>
  <cols>
    <col min="1" max="1" width="8.25390625" style="233" customWidth="1"/>
    <col min="2" max="2" width="63.25390625" style="233" customWidth="1"/>
    <col min="3" max="3" width="18.00390625" style="233" customWidth="1"/>
    <col min="4" max="4" width="16.625" style="233" customWidth="1"/>
    <col min="5" max="254" width="14.75390625" style="233" customWidth="1"/>
    <col min="255" max="255" width="8.25390625" style="233" customWidth="1"/>
    <col min="256" max="256" width="53.125" style="233" customWidth="1"/>
    <col min="257" max="257" width="18.00390625" style="233" customWidth="1"/>
    <col min="258" max="259" width="17.625" style="233" customWidth="1"/>
    <col min="260" max="260" width="32.25390625" style="233" customWidth="1"/>
    <col min="261" max="510" width="14.75390625" style="233" customWidth="1"/>
    <col min="511" max="511" width="8.25390625" style="233" customWidth="1"/>
    <col min="512" max="512" width="53.125" style="233" customWidth="1"/>
    <col min="513" max="513" width="18.00390625" style="233" customWidth="1"/>
    <col min="514" max="515" width="17.625" style="233" customWidth="1"/>
    <col min="516" max="516" width="32.25390625" style="233" customWidth="1"/>
    <col min="517" max="766" width="14.75390625" style="233" customWidth="1"/>
    <col min="767" max="767" width="8.25390625" style="233" customWidth="1"/>
    <col min="768" max="768" width="53.125" style="233" customWidth="1"/>
    <col min="769" max="769" width="18.00390625" style="233" customWidth="1"/>
    <col min="770" max="771" width="17.625" style="233" customWidth="1"/>
    <col min="772" max="772" width="32.25390625" style="233" customWidth="1"/>
    <col min="773" max="1022" width="14.75390625" style="233" customWidth="1"/>
    <col min="1023" max="1023" width="8.25390625" style="233" customWidth="1"/>
    <col min="1024" max="1024" width="53.125" style="233" customWidth="1"/>
    <col min="1025" max="1025" width="18.00390625" style="233" customWidth="1"/>
    <col min="1026" max="1027" width="17.625" style="233" customWidth="1"/>
    <col min="1028" max="1028" width="32.25390625" style="233" customWidth="1"/>
    <col min="1029" max="1278" width="14.75390625" style="233" customWidth="1"/>
    <col min="1279" max="1279" width="8.25390625" style="233" customWidth="1"/>
    <col min="1280" max="1280" width="53.125" style="233" customWidth="1"/>
    <col min="1281" max="1281" width="18.00390625" style="233" customWidth="1"/>
    <col min="1282" max="1283" width="17.625" style="233" customWidth="1"/>
    <col min="1284" max="1284" width="32.25390625" style="233" customWidth="1"/>
    <col min="1285" max="1534" width="14.75390625" style="233" customWidth="1"/>
    <col min="1535" max="1535" width="8.25390625" style="233" customWidth="1"/>
    <col min="1536" max="1536" width="53.125" style="233" customWidth="1"/>
    <col min="1537" max="1537" width="18.00390625" style="233" customWidth="1"/>
    <col min="1538" max="1539" width="17.625" style="233" customWidth="1"/>
    <col min="1540" max="1540" width="32.25390625" style="233" customWidth="1"/>
    <col min="1541" max="1790" width="14.75390625" style="233" customWidth="1"/>
    <col min="1791" max="1791" width="8.25390625" style="233" customWidth="1"/>
    <col min="1792" max="1792" width="53.125" style="233" customWidth="1"/>
    <col min="1793" max="1793" width="18.00390625" style="233" customWidth="1"/>
    <col min="1794" max="1795" width="17.625" style="233" customWidth="1"/>
    <col min="1796" max="1796" width="32.25390625" style="233" customWidth="1"/>
    <col min="1797" max="2046" width="14.75390625" style="233" customWidth="1"/>
    <col min="2047" max="2047" width="8.25390625" style="233" customWidth="1"/>
    <col min="2048" max="2048" width="53.125" style="233" customWidth="1"/>
    <col min="2049" max="2049" width="18.00390625" style="233" customWidth="1"/>
    <col min="2050" max="2051" width="17.625" style="233" customWidth="1"/>
    <col min="2052" max="2052" width="32.25390625" style="233" customWidth="1"/>
    <col min="2053" max="2302" width="14.75390625" style="233" customWidth="1"/>
    <col min="2303" max="2303" width="8.25390625" style="233" customWidth="1"/>
    <col min="2304" max="2304" width="53.125" style="233" customWidth="1"/>
    <col min="2305" max="2305" width="18.00390625" style="233" customWidth="1"/>
    <col min="2306" max="2307" width="17.625" style="233" customWidth="1"/>
    <col min="2308" max="2308" width="32.25390625" style="233" customWidth="1"/>
    <col min="2309" max="2558" width="14.75390625" style="233" customWidth="1"/>
    <col min="2559" max="2559" width="8.25390625" style="233" customWidth="1"/>
    <col min="2560" max="2560" width="53.125" style="233" customWidth="1"/>
    <col min="2561" max="2561" width="18.00390625" style="233" customWidth="1"/>
    <col min="2562" max="2563" width="17.625" style="233" customWidth="1"/>
    <col min="2564" max="2564" width="32.25390625" style="233" customWidth="1"/>
    <col min="2565" max="2814" width="14.75390625" style="233" customWidth="1"/>
    <col min="2815" max="2815" width="8.25390625" style="233" customWidth="1"/>
    <col min="2816" max="2816" width="53.125" style="233" customWidth="1"/>
    <col min="2817" max="2817" width="18.00390625" style="233" customWidth="1"/>
    <col min="2818" max="2819" width="17.625" style="233" customWidth="1"/>
    <col min="2820" max="2820" width="32.25390625" style="233" customWidth="1"/>
    <col min="2821" max="3070" width="14.75390625" style="233" customWidth="1"/>
    <col min="3071" max="3071" width="8.25390625" style="233" customWidth="1"/>
    <col min="3072" max="3072" width="53.125" style="233" customWidth="1"/>
    <col min="3073" max="3073" width="18.00390625" style="233" customWidth="1"/>
    <col min="3074" max="3075" width="17.625" style="233" customWidth="1"/>
    <col min="3076" max="3076" width="32.25390625" style="233" customWidth="1"/>
    <col min="3077" max="3326" width="14.75390625" style="233" customWidth="1"/>
    <col min="3327" max="3327" width="8.25390625" style="233" customWidth="1"/>
    <col min="3328" max="3328" width="53.125" style="233" customWidth="1"/>
    <col min="3329" max="3329" width="18.00390625" style="233" customWidth="1"/>
    <col min="3330" max="3331" width="17.625" style="233" customWidth="1"/>
    <col min="3332" max="3332" width="32.25390625" style="233" customWidth="1"/>
    <col min="3333" max="3582" width="14.75390625" style="233" customWidth="1"/>
    <col min="3583" max="3583" width="8.25390625" style="233" customWidth="1"/>
    <col min="3584" max="3584" width="53.125" style="233" customWidth="1"/>
    <col min="3585" max="3585" width="18.00390625" style="233" customWidth="1"/>
    <col min="3586" max="3587" width="17.625" style="233" customWidth="1"/>
    <col min="3588" max="3588" width="32.25390625" style="233" customWidth="1"/>
    <col min="3589" max="3838" width="14.75390625" style="233" customWidth="1"/>
    <col min="3839" max="3839" width="8.25390625" style="233" customWidth="1"/>
    <col min="3840" max="3840" width="53.125" style="233" customWidth="1"/>
    <col min="3841" max="3841" width="18.00390625" style="233" customWidth="1"/>
    <col min="3842" max="3843" width="17.625" style="233" customWidth="1"/>
    <col min="3844" max="3844" width="32.25390625" style="233" customWidth="1"/>
    <col min="3845" max="4094" width="14.75390625" style="233" customWidth="1"/>
    <col min="4095" max="4095" width="8.25390625" style="233" customWidth="1"/>
    <col min="4096" max="4096" width="53.125" style="233" customWidth="1"/>
    <col min="4097" max="4097" width="18.00390625" style="233" customWidth="1"/>
    <col min="4098" max="4099" width="17.625" style="233" customWidth="1"/>
    <col min="4100" max="4100" width="32.25390625" style="233" customWidth="1"/>
    <col min="4101" max="4350" width="14.75390625" style="233" customWidth="1"/>
    <col min="4351" max="4351" width="8.25390625" style="233" customWidth="1"/>
    <col min="4352" max="4352" width="53.125" style="233" customWidth="1"/>
    <col min="4353" max="4353" width="18.00390625" style="233" customWidth="1"/>
    <col min="4354" max="4355" width="17.625" style="233" customWidth="1"/>
    <col min="4356" max="4356" width="32.25390625" style="233" customWidth="1"/>
    <col min="4357" max="4606" width="14.75390625" style="233" customWidth="1"/>
    <col min="4607" max="4607" width="8.25390625" style="233" customWidth="1"/>
    <col min="4608" max="4608" width="53.125" style="233" customWidth="1"/>
    <col min="4609" max="4609" width="18.00390625" style="233" customWidth="1"/>
    <col min="4610" max="4611" width="17.625" style="233" customWidth="1"/>
    <col min="4612" max="4612" width="32.25390625" style="233" customWidth="1"/>
    <col min="4613" max="4862" width="14.75390625" style="233" customWidth="1"/>
    <col min="4863" max="4863" width="8.25390625" style="233" customWidth="1"/>
    <col min="4864" max="4864" width="53.125" style="233" customWidth="1"/>
    <col min="4865" max="4865" width="18.00390625" style="233" customWidth="1"/>
    <col min="4866" max="4867" width="17.625" style="233" customWidth="1"/>
    <col min="4868" max="4868" width="32.25390625" style="233" customWidth="1"/>
    <col min="4869" max="5118" width="14.75390625" style="233" customWidth="1"/>
    <col min="5119" max="5119" width="8.25390625" style="233" customWidth="1"/>
    <col min="5120" max="5120" width="53.125" style="233" customWidth="1"/>
    <col min="5121" max="5121" width="18.00390625" style="233" customWidth="1"/>
    <col min="5122" max="5123" width="17.625" style="233" customWidth="1"/>
    <col min="5124" max="5124" width="32.25390625" style="233" customWidth="1"/>
    <col min="5125" max="5374" width="14.75390625" style="233" customWidth="1"/>
    <col min="5375" max="5375" width="8.25390625" style="233" customWidth="1"/>
    <col min="5376" max="5376" width="53.125" style="233" customWidth="1"/>
    <col min="5377" max="5377" width="18.00390625" style="233" customWidth="1"/>
    <col min="5378" max="5379" width="17.625" style="233" customWidth="1"/>
    <col min="5380" max="5380" width="32.25390625" style="233" customWidth="1"/>
    <col min="5381" max="5630" width="14.75390625" style="233" customWidth="1"/>
    <col min="5631" max="5631" width="8.25390625" style="233" customWidth="1"/>
    <col min="5632" max="5632" width="53.125" style="233" customWidth="1"/>
    <col min="5633" max="5633" width="18.00390625" style="233" customWidth="1"/>
    <col min="5634" max="5635" width="17.625" style="233" customWidth="1"/>
    <col min="5636" max="5636" width="32.25390625" style="233" customWidth="1"/>
    <col min="5637" max="5886" width="14.75390625" style="233" customWidth="1"/>
    <col min="5887" max="5887" width="8.25390625" style="233" customWidth="1"/>
    <col min="5888" max="5888" width="53.125" style="233" customWidth="1"/>
    <col min="5889" max="5889" width="18.00390625" style="233" customWidth="1"/>
    <col min="5890" max="5891" width="17.625" style="233" customWidth="1"/>
    <col min="5892" max="5892" width="32.25390625" style="233" customWidth="1"/>
    <col min="5893" max="6142" width="14.75390625" style="233" customWidth="1"/>
    <col min="6143" max="6143" width="8.25390625" style="233" customWidth="1"/>
    <col min="6144" max="6144" width="53.125" style="233" customWidth="1"/>
    <col min="6145" max="6145" width="18.00390625" style="233" customWidth="1"/>
    <col min="6146" max="6147" width="17.625" style="233" customWidth="1"/>
    <col min="6148" max="6148" width="32.25390625" style="233" customWidth="1"/>
    <col min="6149" max="6398" width="14.75390625" style="233" customWidth="1"/>
    <col min="6399" max="6399" width="8.25390625" style="233" customWidth="1"/>
    <col min="6400" max="6400" width="53.125" style="233" customWidth="1"/>
    <col min="6401" max="6401" width="18.00390625" style="233" customWidth="1"/>
    <col min="6402" max="6403" width="17.625" style="233" customWidth="1"/>
    <col min="6404" max="6404" width="32.25390625" style="233" customWidth="1"/>
    <col min="6405" max="6654" width="14.75390625" style="233" customWidth="1"/>
    <col min="6655" max="6655" width="8.25390625" style="233" customWidth="1"/>
    <col min="6656" max="6656" width="53.125" style="233" customWidth="1"/>
    <col min="6657" max="6657" width="18.00390625" style="233" customWidth="1"/>
    <col min="6658" max="6659" width="17.625" style="233" customWidth="1"/>
    <col min="6660" max="6660" width="32.25390625" style="233" customWidth="1"/>
    <col min="6661" max="6910" width="14.75390625" style="233" customWidth="1"/>
    <col min="6911" max="6911" width="8.25390625" style="233" customWidth="1"/>
    <col min="6912" max="6912" width="53.125" style="233" customWidth="1"/>
    <col min="6913" max="6913" width="18.00390625" style="233" customWidth="1"/>
    <col min="6914" max="6915" width="17.625" style="233" customWidth="1"/>
    <col min="6916" max="6916" width="32.25390625" style="233" customWidth="1"/>
    <col min="6917" max="7166" width="14.75390625" style="233" customWidth="1"/>
    <col min="7167" max="7167" width="8.25390625" style="233" customWidth="1"/>
    <col min="7168" max="7168" width="53.125" style="233" customWidth="1"/>
    <col min="7169" max="7169" width="18.00390625" style="233" customWidth="1"/>
    <col min="7170" max="7171" width="17.625" style="233" customWidth="1"/>
    <col min="7172" max="7172" width="32.25390625" style="233" customWidth="1"/>
    <col min="7173" max="7422" width="14.75390625" style="233" customWidth="1"/>
    <col min="7423" max="7423" width="8.25390625" style="233" customWidth="1"/>
    <col min="7424" max="7424" width="53.125" style="233" customWidth="1"/>
    <col min="7425" max="7425" width="18.00390625" style="233" customWidth="1"/>
    <col min="7426" max="7427" width="17.625" style="233" customWidth="1"/>
    <col min="7428" max="7428" width="32.25390625" style="233" customWidth="1"/>
    <col min="7429" max="7678" width="14.75390625" style="233" customWidth="1"/>
    <col min="7679" max="7679" width="8.25390625" style="233" customWidth="1"/>
    <col min="7680" max="7680" width="53.125" style="233" customWidth="1"/>
    <col min="7681" max="7681" width="18.00390625" style="233" customWidth="1"/>
    <col min="7682" max="7683" width="17.625" style="233" customWidth="1"/>
    <col min="7684" max="7684" width="32.25390625" style="233" customWidth="1"/>
    <col min="7685" max="7934" width="14.75390625" style="233" customWidth="1"/>
    <col min="7935" max="7935" width="8.25390625" style="233" customWidth="1"/>
    <col min="7936" max="7936" width="53.125" style="233" customWidth="1"/>
    <col min="7937" max="7937" width="18.00390625" style="233" customWidth="1"/>
    <col min="7938" max="7939" width="17.625" style="233" customWidth="1"/>
    <col min="7940" max="7940" width="32.25390625" style="233" customWidth="1"/>
    <col min="7941" max="8190" width="14.75390625" style="233" customWidth="1"/>
    <col min="8191" max="8191" width="8.25390625" style="233" customWidth="1"/>
    <col min="8192" max="8192" width="53.125" style="233" customWidth="1"/>
    <col min="8193" max="8193" width="18.00390625" style="233" customWidth="1"/>
    <col min="8194" max="8195" width="17.625" style="233" customWidth="1"/>
    <col min="8196" max="8196" width="32.25390625" style="233" customWidth="1"/>
    <col min="8197" max="8446" width="14.75390625" style="233" customWidth="1"/>
    <col min="8447" max="8447" width="8.25390625" style="233" customWidth="1"/>
    <col min="8448" max="8448" width="53.125" style="233" customWidth="1"/>
    <col min="8449" max="8449" width="18.00390625" style="233" customWidth="1"/>
    <col min="8450" max="8451" width="17.625" style="233" customWidth="1"/>
    <col min="8452" max="8452" width="32.25390625" style="233" customWidth="1"/>
    <col min="8453" max="8702" width="14.75390625" style="233" customWidth="1"/>
    <col min="8703" max="8703" width="8.25390625" style="233" customWidth="1"/>
    <col min="8704" max="8704" width="53.125" style="233" customWidth="1"/>
    <col min="8705" max="8705" width="18.00390625" style="233" customWidth="1"/>
    <col min="8706" max="8707" width="17.625" style="233" customWidth="1"/>
    <col min="8708" max="8708" width="32.25390625" style="233" customWidth="1"/>
    <col min="8709" max="8958" width="14.75390625" style="233" customWidth="1"/>
    <col min="8959" max="8959" width="8.25390625" style="233" customWidth="1"/>
    <col min="8960" max="8960" width="53.125" style="233" customWidth="1"/>
    <col min="8961" max="8961" width="18.00390625" style="233" customWidth="1"/>
    <col min="8962" max="8963" width="17.625" style="233" customWidth="1"/>
    <col min="8964" max="8964" width="32.25390625" style="233" customWidth="1"/>
    <col min="8965" max="9214" width="14.75390625" style="233" customWidth="1"/>
    <col min="9215" max="9215" width="8.25390625" style="233" customWidth="1"/>
    <col min="9216" max="9216" width="53.125" style="233" customWidth="1"/>
    <col min="9217" max="9217" width="18.00390625" style="233" customWidth="1"/>
    <col min="9218" max="9219" width="17.625" style="233" customWidth="1"/>
    <col min="9220" max="9220" width="32.25390625" style="233" customWidth="1"/>
    <col min="9221" max="9470" width="14.75390625" style="233" customWidth="1"/>
    <col min="9471" max="9471" width="8.25390625" style="233" customWidth="1"/>
    <col min="9472" max="9472" width="53.125" style="233" customWidth="1"/>
    <col min="9473" max="9473" width="18.00390625" style="233" customWidth="1"/>
    <col min="9474" max="9475" width="17.625" style="233" customWidth="1"/>
    <col min="9476" max="9476" width="32.25390625" style="233" customWidth="1"/>
    <col min="9477" max="9726" width="14.75390625" style="233" customWidth="1"/>
    <col min="9727" max="9727" width="8.25390625" style="233" customWidth="1"/>
    <col min="9728" max="9728" width="53.125" style="233" customWidth="1"/>
    <col min="9729" max="9729" width="18.00390625" style="233" customWidth="1"/>
    <col min="9730" max="9731" width="17.625" style="233" customWidth="1"/>
    <col min="9732" max="9732" width="32.25390625" style="233" customWidth="1"/>
    <col min="9733" max="9982" width="14.75390625" style="233" customWidth="1"/>
    <col min="9983" max="9983" width="8.25390625" style="233" customWidth="1"/>
    <col min="9984" max="9984" width="53.125" style="233" customWidth="1"/>
    <col min="9985" max="9985" width="18.00390625" style="233" customWidth="1"/>
    <col min="9986" max="9987" width="17.625" style="233" customWidth="1"/>
    <col min="9988" max="9988" width="32.25390625" style="233" customWidth="1"/>
    <col min="9989" max="10238" width="14.75390625" style="233" customWidth="1"/>
    <col min="10239" max="10239" width="8.25390625" style="233" customWidth="1"/>
    <col min="10240" max="10240" width="53.125" style="233" customWidth="1"/>
    <col min="10241" max="10241" width="18.00390625" style="233" customWidth="1"/>
    <col min="10242" max="10243" width="17.625" style="233" customWidth="1"/>
    <col min="10244" max="10244" width="32.25390625" style="233" customWidth="1"/>
    <col min="10245" max="10494" width="14.75390625" style="233" customWidth="1"/>
    <col min="10495" max="10495" width="8.25390625" style="233" customWidth="1"/>
    <col min="10496" max="10496" width="53.125" style="233" customWidth="1"/>
    <col min="10497" max="10497" width="18.00390625" style="233" customWidth="1"/>
    <col min="10498" max="10499" width="17.625" style="233" customWidth="1"/>
    <col min="10500" max="10500" width="32.25390625" style="233" customWidth="1"/>
    <col min="10501" max="10750" width="14.75390625" style="233" customWidth="1"/>
    <col min="10751" max="10751" width="8.25390625" style="233" customWidth="1"/>
    <col min="10752" max="10752" width="53.125" style="233" customWidth="1"/>
    <col min="10753" max="10753" width="18.00390625" style="233" customWidth="1"/>
    <col min="10754" max="10755" width="17.625" style="233" customWidth="1"/>
    <col min="10756" max="10756" width="32.25390625" style="233" customWidth="1"/>
    <col min="10757" max="11006" width="14.75390625" style="233" customWidth="1"/>
    <col min="11007" max="11007" width="8.25390625" style="233" customWidth="1"/>
    <col min="11008" max="11008" width="53.125" style="233" customWidth="1"/>
    <col min="11009" max="11009" width="18.00390625" style="233" customWidth="1"/>
    <col min="11010" max="11011" width="17.625" style="233" customWidth="1"/>
    <col min="11012" max="11012" width="32.25390625" style="233" customWidth="1"/>
    <col min="11013" max="11262" width="14.75390625" style="233" customWidth="1"/>
    <col min="11263" max="11263" width="8.25390625" style="233" customWidth="1"/>
    <col min="11264" max="11264" width="53.125" style="233" customWidth="1"/>
    <col min="11265" max="11265" width="18.00390625" style="233" customWidth="1"/>
    <col min="11266" max="11267" width="17.625" style="233" customWidth="1"/>
    <col min="11268" max="11268" width="32.25390625" style="233" customWidth="1"/>
    <col min="11269" max="11518" width="14.75390625" style="233" customWidth="1"/>
    <col min="11519" max="11519" width="8.25390625" style="233" customWidth="1"/>
    <col min="11520" max="11520" width="53.125" style="233" customWidth="1"/>
    <col min="11521" max="11521" width="18.00390625" style="233" customWidth="1"/>
    <col min="11522" max="11523" width="17.625" style="233" customWidth="1"/>
    <col min="11524" max="11524" width="32.25390625" style="233" customWidth="1"/>
    <col min="11525" max="11774" width="14.75390625" style="233" customWidth="1"/>
    <col min="11775" max="11775" width="8.25390625" style="233" customWidth="1"/>
    <col min="11776" max="11776" width="53.125" style="233" customWidth="1"/>
    <col min="11777" max="11777" width="18.00390625" style="233" customWidth="1"/>
    <col min="11778" max="11779" width="17.625" style="233" customWidth="1"/>
    <col min="11780" max="11780" width="32.25390625" style="233" customWidth="1"/>
    <col min="11781" max="12030" width="14.75390625" style="233" customWidth="1"/>
    <col min="12031" max="12031" width="8.25390625" style="233" customWidth="1"/>
    <col min="12032" max="12032" width="53.125" style="233" customWidth="1"/>
    <col min="12033" max="12033" width="18.00390625" style="233" customWidth="1"/>
    <col min="12034" max="12035" width="17.625" style="233" customWidth="1"/>
    <col min="12036" max="12036" width="32.25390625" style="233" customWidth="1"/>
    <col min="12037" max="12286" width="14.75390625" style="233" customWidth="1"/>
    <col min="12287" max="12287" width="8.25390625" style="233" customWidth="1"/>
    <col min="12288" max="12288" width="53.125" style="233" customWidth="1"/>
    <col min="12289" max="12289" width="18.00390625" style="233" customWidth="1"/>
    <col min="12290" max="12291" width="17.625" style="233" customWidth="1"/>
    <col min="12292" max="12292" width="32.25390625" style="233" customWidth="1"/>
    <col min="12293" max="12542" width="14.75390625" style="233" customWidth="1"/>
    <col min="12543" max="12543" width="8.25390625" style="233" customWidth="1"/>
    <col min="12544" max="12544" width="53.125" style="233" customWidth="1"/>
    <col min="12545" max="12545" width="18.00390625" style="233" customWidth="1"/>
    <col min="12546" max="12547" width="17.625" style="233" customWidth="1"/>
    <col min="12548" max="12548" width="32.25390625" style="233" customWidth="1"/>
    <col min="12549" max="12798" width="14.75390625" style="233" customWidth="1"/>
    <col min="12799" max="12799" width="8.25390625" style="233" customWidth="1"/>
    <col min="12800" max="12800" width="53.125" style="233" customWidth="1"/>
    <col min="12801" max="12801" width="18.00390625" style="233" customWidth="1"/>
    <col min="12802" max="12803" width="17.625" style="233" customWidth="1"/>
    <col min="12804" max="12804" width="32.25390625" style="233" customWidth="1"/>
    <col min="12805" max="13054" width="14.75390625" style="233" customWidth="1"/>
    <col min="13055" max="13055" width="8.25390625" style="233" customWidth="1"/>
    <col min="13056" max="13056" width="53.125" style="233" customWidth="1"/>
    <col min="13057" max="13057" width="18.00390625" style="233" customWidth="1"/>
    <col min="13058" max="13059" width="17.625" style="233" customWidth="1"/>
    <col min="13060" max="13060" width="32.25390625" style="233" customWidth="1"/>
    <col min="13061" max="13310" width="14.75390625" style="233" customWidth="1"/>
    <col min="13311" max="13311" width="8.25390625" style="233" customWidth="1"/>
    <col min="13312" max="13312" width="53.125" style="233" customWidth="1"/>
    <col min="13313" max="13313" width="18.00390625" style="233" customWidth="1"/>
    <col min="13314" max="13315" width="17.625" style="233" customWidth="1"/>
    <col min="13316" max="13316" width="32.25390625" style="233" customWidth="1"/>
    <col min="13317" max="13566" width="14.75390625" style="233" customWidth="1"/>
    <col min="13567" max="13567" width="8.25390625" style="233" customWidth="1"/>
    <col min="13568" max="13568" width="53.125" style="233" customWidth="1"/>
    <col min="13569" max="13569" width="18.00390625" style="233" customWidth="1"/>
    <col min="13570" max="13571" width="17.625" style="233" customWidth="1"/>
    <col min="13572" max="13572" width="32.25390625" style="233" customWidth="1"/>
    <col min="13573" max="13822" width="14.75390625" style="233" customWidth="1"/>
    <col min="13823" max="13823" width="8.25390625" style="233" customWidth="1"/>
    <col min="13824" max="13824" width="53.125" style="233" customWidth="1"/>
    <col min="13825" max="13825" width="18.00390625" style="233" customWidth="1"/>
    <col min="13826" max="13827" width="17.625" style="233" customWidth="1"/>
    <col min="13828" max="13828" width="32.25390625" style="233" customWidth="1"/>
    <col min="13829" max="14078" width="14.75390625" style="233" customWidth="1"/>
    <col min="14079" max="14079" width="8.25390625" style="233" customWidth="1"/>
    <col min="14080" max="14080" width="53.125" style="233" customWidth="1"/>
    <col min="14081" max="14081" width="18.00390625" style="233" customWidth="1"/>
    <col min="14082" max="14083" width="17.625" style="233" customWidth="1"/>
    <col min="14084" max="14084" width="32.25390625" style="233" customWidth="1"/>
    <col min="14085" max="14334" width="14.75390625" style="233" customWidth="1"/>
    <col min="14335" max="14335" width="8.25390625" style="233" customWidth="1"/>
    <col min="14336" max="14336" width="53.125" style="233" customWidth="1"/>
    <col min="14337" max="14337" width="18.00390625" style="233" customWidth="1"/>
    <col min="14338" max="14339" width="17.625" style="233" customWidth="1"/>
    <col min="14340" max="14340" width="32.25390625" style="233" customWidth="1"/>
    <col min="14341" max="14590" width="14.75390625" style="233" customWidth="1"/>
    <col min="14591" max="14591" width="8.25390625" style="233" customWidth="1"/>
    <col min="14592" max="14592" width="53.125" style="233" customWidth="1"/>
    <col min="14593" max="14593" width="18.00390625" style="233" customWidth="1"/>
    <col min="14594" max="14595" width="17.625" style="233" customWidth="1"/>
    <col min="14596" max="14596" width="32.25390625" style="233" customWidth="1"/>
    <col min="14597" max="14846" width="14.75390625" style="233" customWidth="1"/>
    <col min="14847" max="14847" width="8.25390625" style="233" customWidth="1"/>
    <col min="14848" max="14848" width="53.125" style="233" customWidth="1"/>
    <col min="14849" max="14849" width="18.00390625" style="233" customWidth="1"/>
    <col min="14850" max="14851" width="17.625" style="233" customWidth="1"/>
    <col min="14852" max="14852" width="32.25390625" style="233" customWidth="1"/>
    <col min="14853" max="15102" width="14.75390625" style="233" customWidth="1"/>
    <col min="15103" max="15103" width="8.25390625" style="233" customWidth="1"/>
    <col min="15104" max="15104" width="53.125" style="233" customWidth="1"/>
    <col min="15105" max="15105" width="18.00390625" style="233" customWidth="1"/>
    <col min="15106" max="15107" width="17.625" style="233" customWidth="1"/>
    <col min="15108" max="15108" width="32.25390625" style="233" customWidth="1"/>
    <col min="15109" max="15358" width="14.75390625" style="233" customWidth="1"/>
    <col min="15359" max="15359" width="8.25390625" style="233" customWidth="1"/>
    <col min="15360" max="15360" width="53.125" style="233" customWidth="1"/>
    <col min="15361" max="15361" width="18.00390625" style="233" customWidth="1"/>
    <col min="15362" max="15363" width="17.625" style="233" customWidth="1"/>
    <col min="15364" max="15364" width="32.25390625" style="233" customWidth="1"/>
    <col min="15365" max="15614" width="14.75390625" style="233" customWidth="1"/>
    <col min="15615" max="15615" width="8.25390625" style="233" customWidth="1"/>
    <col min="15616" max="15616" width="53.125" style="233" customWidth="1"/>
    <col min="15617" max="15617" width="18.00390625" style="233" customWidth="1"/>
    <col min="15618" max="15619" width="17.625" style="233" customWidth="1"/>
    <col min="15620" max="15620" width="32.25390625" style="233" customWidth="1"/>
    <col min="15621" max="15870" width="14.75390625" style="233" customWidth="1"/>
    <col min="15871" max="15871" width="8.25390625" style="233" customWidth="1"/>
    <col min="15872" max="15872" width="53.125" style="233" customWidth="1"/>
    <col min="15873" max="15873" width="18.00390625" style="233" customWidth="1"/>
    <col min="15874" max="15875" width="17.625" style="233" customWidth="1"/>
    <col min="15876" max="15876" width="32.25390625" style="233" customWidth="1"/>
    <col min="15877" max="16126" width="14.75390625" style="233" customWidth="1"/>
    <col min="16127" max="16127" width="8.25390625" style="233" customWidth="1"/>
    <col min="16128" max="16128" width="53.125" style="233" customWidth="1"/>
    <col min="16129" max="16129" width="18.00390625" style="233" customWidth="1"/>
    <col min="16130" max="16131" width="17.625" style="233" customWidth="1"/>
    <col min="16132" max="16132" width="32.25390625" style="233" customWidth="1"/>
    <col min="16133" max="16384" width="14.75390625" style="233" customWidth="1"/>
  </cols>
  <sheetData>
    <row r="1" spans="2:4" ht="14.25" customHeight="1">
      <c r="B1" s="316" t="s">
        <v>1138</v>
      </c>
      <c r="C1" s="316"/>
      <c r="D1" s="316"/>
    </row>
    <row r="2" spans="2:4" ht="14.25" customHeight="1">
      <c r="B2" s="317" t="s">
        <v>1156</v>
      </c>
      <c r="C2" s="317"/>
      <c r="D2" s="317"/>
    </row>
    <row r="3" spans="2:4" ht="12.75">
      <c r="B3" s="316" t="s">
        <v>1144</v>
      </c>
      <c r="C3" s="316"/>
      <c r="D3" s="316"/>
    </row>
    <row r="4" spans="2:3" ht="12.75">
      <c r="B4" s="234"/>
      <c r="C4" s="234"/>
    </row>
    <row r="5" spans="1:4" ht="49.5" customHeight="1">
      <c r="A5" s="318" t="s">
        <v>1129</v>
      </c>
      <c r="B5" s="318"/>
      <c r="C5" s="318"/>
      <c r="D5" s="318"/>
    </row>
    <row r="6" spans="1:3" ht="28.5" customHeight="1">
      <c r="A6" s="319" t="s">
        <v>1120</v>
      </c>
      <c r="B6" s="319"/>
      <c r="C6" s="319"/>
    </row>
    <row r="7" spans="1:3" ht="16.5" customHeight="1">
      <c r="A7" s="235" t="s">
        <v>1121</v>
      </c>
      <c r="B7" s="235" t="s">
        <v>1130</v>
      </c>
      <c r="C7" s="235"/>
    </row>
    <row r="8" spans="1:4" ht="12.75">
      <c r="A8" s="236"/>
      <c r="D8" s="134" t="s">
        <v>1118</v>
      </c>
    </row>
    <row r="9" spans="1:4" s="238" customFormat="1" ht="49.5">
      <c r="A9" s="237" t="s">
        <v>1122</v>
      </c>
      <c r="B9" s="237" t="s">
        <v>1123</v>
      </c>
      <c r="C9" s="237" t="s">
        <v>686</v>
      </c>
      <c r="D9" s="131" t="s">
        <v>687</v>
      </c>
    </row>
    <row r="10" spans="1:4" s="238" customFormat="1" ht="12.75">
      <c r="A10" s="237">
        <v>1</v>
      </c>
      <c r="B10" s="237">
        <v>2</v>
      </c>
      <c r="C10" s="237">
        <v>3</v>
      </c>
      <c r="D10" s="237">
        <v>4</v>
      </c>
    </row>
    <row r="11" spans="1:4" ht="28.5" customHeight="1">
      <c r="A11" s="237">
        <v>1</v>
      </c>
      <c r="B11" s="239" t="s">
        <v>1124</v>
      </c>
      <c r="C11" s="240">
        <v>0</v>
      </c>
      <c r="D11" s="240">
        <v>0</v>
      </c>
    </row>
    <row r="12" spans="1:4" ht="12.75">
      <c r="A12" s="241"/>
      <c r="B12" s="242" t="s">
        <v>1125</v>
      </c>
      <c r="C12" s="243">
        <f>C11</f>
        <v>0</v>
      </c>
      <c r="D12" s="243">
        <f>D11</f>
        <v>0</v>
      </c>
    </row>
    <row r="13" ht="12.75">
      <c r="A13" s="236"/>
    </row>
    <row r="14" spans="1:3" ht="16.5" customHeight="1">
      <c r="A14" s="315" t="s">
        <v>1131</v>
      </c>
      <c r="B14" s="315"/>
      <c r="C14" s="315"/>
    </row>
    <row r="16" spans="1:4" s="238" customFormat="1" ht="49.5">
      <c r="A16" s="237" t="s">
        <v>1122</v>
      </c>
      <c r="B16" s="237" t="s">
        <v>1126</v>
      </c>
      <c r="C16" s="237" t="s">
        <v>686</v>
      </c>
      <c r="D16" s="131" t="s">
        <v>687</v>
      </c>
    </row>
    <row r="17" spans="1:4" s="238" customFormat="1" ht="12.75">
      <c r="A17" s="237">
        <v>1</v>
      </c>
      <c r="B17" s="237">
        <v>2</v>
      </c>
      <c r="C17" s="237">
        <v>3</v>
      </c>
      <c r="D17" s="237">
        <v>4</v>
      </c>
    </row>
    <row r="18" spans="1:4" ht="33">
      <c r="A18" s="237">
        <v>1</v>
      </c>
      <c r="B18" s="239" t="s">
        <v>1127</v>
      </c>
      <c r="C18" s="240">
        <f>C20</f>
        <v>10000</v>
      </c>
      <c r="D18" s="240">
        <f>D20</f>
        <v>10000</v>
      </c>
    </row>
    <row r="19" spans="1:4" ht="12.75">
      <c r="A19" s="237"/>
      <c r="B19" s="244" t="s">
        <v>1132</v>
      </c>
      <c r="C19" s="240"/>
      <c r="D19" s="240"/>
    </row>
    <row r="20" spans="1:4" ht="22.15" customHeight="1">
      <c r="A20" s="237"/>
      <c r="B20" s="244" t="s">
        <v>1133</v>
      </c>
      <c r="C20" s="240">
        <v>10000</v>
      </c>
      <c r="D20" s="240">
        <v>10000</v>
      </c>
    </row>
    <row r="21" spans="1:4" ht="12.75">
      <c r="A21" s="241"/>
      <c r="B21" s="242" t="s">
        <v>1125</v>
      </c>
      <c r="C21" s="243">
        <f>C18</f>
        <v>10000</v>
      </c>
      <c r="D21" s="243">
        <f>D18</f>
        <v>10000</v>
      </c>
    </row>
  </sheetData>
  <mergeCells count="6">
    <mergeCell ref="A14:C14"/>
    <mergeCell ref="B1:D1"/>
    <mergeCell ref="B2:D2"/>
    <mergeCell ref="B3:D3"/>
    <mergeCell ref="A5:D5"/>
    <mergeCell ref="A6:C6"/>
  </mergeCells>
  <printOptions/>
  <pageMargins left="0.9055118110236221" right="0.31496062992125984" top="0.35433070866141736" bottom="0.15748031496062992" header="0.31496062992125984" footer="0.31496062992125984"/>
  <pageSetup fitToHeight="0"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workbookViewId="0" topLeftCell="A1">
      <selection activeCell="A4" sqref="A4"/>
    </sheetView>
  </sheetViews>
  <sheetFormatPr defaultColWidth="9.125" defaultRowHeight="12.75"/>
  <cols>
    <col min="1" max="1" width="50.75390625" style="18" customWidth="1"/>
    <col min="2" max="2" width="19.375" style="18" customWidth="1"/>
    <col min="3" max="3" width="28.125" style="18" customWidth="1"/>
    <col min="4" max="4" width="14.625" style="19" customWidth="1"/>
    <col min="5" max="5" width="14.00390625" style="18" customWidth="1"/>
    <col min="6" max="16384" width="9.125" style="18" customWidth="1"/>
  </cols>
  <sheetData>
    <row r="1" spans="1:5" ht="12.75">
      <c r="A1" s="263" t="s">
        <v>688</v>
      </c>
      <c r="B1" s="263"/>
      <c r="C1" s="263"/>
      <c r="D1" s="263"/>
      <c r="E1" s="263"/>
    </row>
    <row r="2" spans="1:5" ht="12.75">
      <c r="A2" s="263" t="s">
        <v>649</v>
      </c>
      <c r="B2" s="263"/>
      <c r="C2" s="263"/>
      <c r="D2" s="263"/>
      <c r="E2" s="263"/>
    </row>
    <row r="3" spans="1:5" ht="12.75">
      <c r="A3" s="263" t="s">
        <v>1143</v>
      </c>
      <c r="B3" s="263"/>
      <c r="C3" s="263"/>
      <c r="D3" s="263"/>
      <c r="E3" s="263"/>
    </row>
    <row r="5" spans="1:5" ht="25.15" customHeight="1">
      <c r="A5" s="264" t="s">
        <v>689</v>
      </c>
      <c r="B5" s="264"/>
      <c r="C5" s="264"/>
      <c r="D5" s="264"/>
      <c r="E5" s="264"/>
    </row>
    <row r="6" spans="1:5" ht="17.25" customHeight="1">
      <c r="A6" s="264" t="s">
        <v>690</v>
      </c>
      <c r="B6" s="264"/>
      <c r="C6" s="264"/>
      <c r="D6" s="264"/>
      <c r="E6" s="264"/>
    </row>
    <row r="7" ht="12.75">
      <c r="E7" s="18" t="s">
        <v>685</v>
      </c>
    </row>
    <row r="8" spans="1:5" ht="12.75">
      <c r="A8" s="268" t="s">
        <v>24</v>
      </c>
      <c r="B8" s="270" t="s">
        <v>692</v>
      </c>
      <c r="C8" s="271"/>
      <c r="D8" s="268" t="s">
        <v>686</v>
      </c>
      <c r="E8" s="268" t="s">
        <v>687</v>
      </c>
    </row>
    <row r="9" spans="1:5" ht="47.25">
      <c r="A9" s="269"/>
      <c r="B9" s="23" t="s">
        <v>693</v>
      </c>
      <c r="C9" s="23" t="s">
        <v>694</v>
      </c>
      <c r="D9" s="269"/>
      <c r="E9" s="269"/>
    </row>
    <row r="10" spans="1:5" ht="12.75">
      <c r="A10" s="23">
        <v>1</v>
      </c>
      <c r="B10" s="23">
        <v>2</v>
      </c>
      <c r="C10" s="23">
        <v>3</v>
      </c>
      <c r="D10" s="23">
        <v>4</v>
      </c>
      <c r="E10" s="24">
        <v>5</v>
      </c>
    </row>
    <row r="11" spans="1:5" ht="39" customHeight="1">
      <c r="A11" s="26" t="s">
        <v>695</v>
      </c>
      <c r="B11" s="35" t="s">
        <v>60</v>
      </c>
      <c r="C11" s="26"/>
      <c r="D11" s="27">
        <v>5051.7</v>
      </c>
      <c r="E11" s="27">
        <f>SUM(E12:E14)</f>
        <v>-17726.899999999907</v>
      </c>
    </row>
    <row r="12" spans="1:5" ht="72" customHeight="1">
      <c r="A12" s="29" t="s">
        <v>317</v>
      </c>
      <c r="B12" s="34" t="s">
        <v>60</v>
      </c>
      <c r="C12" s="28" t="s">
        <v>696</v>
      </c>
      <c r="D12" s="31">
        <v>-10000</v>
      </c>
      <c r="E12" s="30">
        <v>-10000</v>
      </c>
    </row>
    <row r="13" spans="1:5" ht="49.15" customHeight="1">
      <c r="A13" s="29" t="s">
        <v>35</v>
      </c>
      <c r="B13" s="34" t="s">
        <v>60</v>
      </c>
      <c r="C13" s="28" t="s">
        <v>697</v>
      </c>
      <c r="D13" s="30">
        <v>-751379.7</v>
      </c>
      <c r="E13" s="7">
        <v>-752459.2</v>
      </c>
    </row>
    <row r="14" spans="1:5" ht="47.45" customHeight="1">
      <c r="A14" s="29" t="s">
        <v>41</v>
      </c>
      <c r="B14" s="34" t="s">
        <v>60</v>
      </c>
      <c r="C14" s="28" t="s">
        <v>698</v>
      </c>
      <c r="D14" s="30">
        <f>756431.4+10000-30</f>
        <v>766401.4</v>
      </c>
      <c r="E14" s="7">
        <v>744732.3</v>
      </c>
    </row>
    <row r="15" spans="1:5" ht="25.5" customHeight="1">
      <c r="A15" s="265" t="s">
        <v>42</v>
      </c>
      <c r="B15" s="266"/>
      <c r="C15" s="267"/>
      <c r="D15" s="27">
        <f>D11</f>
        <v>5051.7</v>
      </c>
      <c r="E15" s="27">
        <f>E11</f>
        <v>-17726.899999999907</v>
      </c>
    </row>
    <row r="17" spans="1:3" ht="12.75">
      <c r="A17" s="33"/>
      <c r="B17" s="33"/>
      <c r="C17" s="33"/>
    </row>
    <row r="18" spans="1:3" ht="12.75">
      <c r="A18" s="16"/>
      <c r="B18" s="16"/>
      <c r="C18" s="16"/>
    </row>
  </sheetData>
  <mergeCells count="10">
    <mergeCell ref="A5:E5"/>
    <mergeCell ref="A6:E6"/>
    <mergeCell ref="A15:C15"/>
    <mergeCell ref="A1:E1"/>
    <mergeCell ref="A2:E2"/>
    <mergeCell ref="A3:E3"/>
    <mergeCell ref="D8:D9"/>
    <mergeCell ref="E8:E9"/>
    <mergeCell ref="B8:C8"/>
    <mergeCell ref="A8:A9"/>
  </mergeCells>
  <printOptions/>
  <pageMargins left="0.7874015748031497" right="0.1968503937007874" top="0.1968503937007874" bottom="0.1968503937007874" header="0.5118110236220472" footer="0.5118110236220472"/>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D162"/>
  <sheetViews>
    <sheetView zoomScale="78" zoomScaleNormal="78" workbookViewId="0" topLeftCell="A1">
      <selection activeCell="B13" sqref="B13"/>
    </sheetView>
  </sheetViews>
  <sheetFormatPr defaultColWidth="9.125" defaultRowHeight="12.75"/>
  <cols>
    <col min="1" max="1" width="31.75390625" style="112" bestFit="1" customWidth="1"/>
    <col min="2" max="2" width="60.75390625" style="113" customWidth="1"/>
    <col min="3" max="3" width="14.25390625" style="112" customWidth="1"/>
    <col min="4" max="4" width="16.00390625" style="122" customWidth="1"/>
    <col min="5" max="16384" width="9.125" style="84" customWidth="1"/>
  </cols>
  <sheetData>
    <row r="1" spans="1:4" ht="12.75">
      <c r="A1" s="83"/>
      <c r="B1" s="272" t="s">
        <v>1103</v>
      </c>
      <c r="C1" s="272"/>
      <c r="D1" s="272"/>
    </row>
    <row r="2" spans="1:4" ht="12.75">
      <c r="A2" s="83"/>
      <c r="B2" s="273" t="s">
        <v>701</v>
      </c>
      <c r="C2" s="273"/>
      <c r="D2" s="273"/>
    </row>
    <row r="3" spans="1:4" ht="12.75">
      <c r="A3" s="83"/>
      <c r="B3" s="273" t="s">
        <v>1144</v>
      </c>
      <c r="C3" s="273"/>
      <c r="D3" s="273"/>
    </row>
    <row r="4" spans="1:3" ht="12.75">
      <c r="A4" s="83"/>
      <c r="B4" s="82"/>
      <c r="C4" s="85"/>
    </row>
    <row r="5" spans="1:4" ht="62.45" customHeight="1">
      <c r="A5" s="274" t="s">
        <v>975</v>
      </c>
      <c r="B5" s="274"/>
      <c r="C5" s="274"/>
      <c r="D5" s="274"/>
    </row>
    <row r="6" spans="1:4" ht="53.45" customHeight="1">
      <c r="A6" s="277" t="s">
        <v>702</v>
      </c>
      <c r="B6" s="278" t="s">
        <v>703</v>
      </c>
      <c r="C6" s="275" t="s">
        <v>686</v>
      </c>
      <c r="D6" s="276" t="s">
        <v>687</v>
      </c>
    </row>
    <row r="7" spans="1:4" ht="15.6" customHeight="1" hidden="1">
      <c r="A7" s="277"/>
      <c r="B7" s="278"/>
      <c r="C7" s="275"/>
      <c r="D7" s="276"/>
    </row>
    <row r="8" spans="1:4" ht="12.75">
      <c r="A8" s="86" t="s">
        <v>704</v>
      </c>
      <c r="B8" s="87" t="s">
        <v>705</v>
      </c>
      <c r="C8" s="90">
        <f>C9+C20+C28+C36+C41+C55+C68+C76+C61+C14+C101</f>
        <v>361834.50000000006</v>
      </c>
      <c r="D8" s="90">
        <f>D9+D20+D28+D36+D41+D55+D68+D76+D61+D14+D101</f>
        <v>372185.49999999994</v>
      </c>
    </row>
    <row r="9" spans="1:4" ht="12.75">
      <c r="A9" s="86" t="s">
        <v>706</v>
      </c>
      <c r="B9" s="87" t="s">
        <v>707</v>
      </c>
      <c r="C9" s="90">
        <f>C10</f>
        <v>198734.10000000003</v>
      </c>
      <c r="D9" s="90">
        <f>D10</f>
        <v>200860.80000000002</v>
      </c>
    </row>
    <row r="10" spans="1:4" ht="12.75">
      <c r="A10" s="86" t="s">
        <v>708</v>
      </c>
      <c r="B10" s="87" t="s">
        <v>709</v>
      </c>
      <c r="C10" s="90">
        <f>C11+C12+C13</f>
        <v>198734.10000000003</v>
      </c>
      <c r="D10" s="90">
        <f>D11+D12+D13</f>
        <v>200860.80000000002</v>
      </c>
    </row>
    <row r="11" spans="1:4" ht="78.75">
      <c r="A11" s="88" t="s">
        <v>710</v>
      </c>
      <c r="B11" s="89" t="s">
        <v>711</v>
      </c>
      <c r="C11" s="93">
        <v>197289.7</v>
      </c>
      <c r="D11" s="123">
        <v>195906.6</v>
      </c>
    </row>
    <row r="12" spans="1:4" ht="126">
      <c r="A12" s="88" t="s">
        <v>712</v>
      </c>
      <c r="B12" s="89" t="s">
        <v>713</v>
      </c>
      <c r="C12" s="93">
        <v>742.7</v>
      </c>
      <c r="D12" s="123">
        <v>1035</v>
      </c>
    </row>
    <row r="13" spans="1:4" ht="47.25">
      <c r="A13" s="88" t="s">
        <v>714</v>
      </c>
      <c r="B13" s="89" t="s">
        <v>715</v>
      </c>
      <c r="C13" s="93">
        <v>701.7</v>
      </c>
      <c r="D13" s="123">
        <v>3919.2</v>
      </c>
    </row>
    <row r="14" spans="1:4" ht="47.25">
      <c r="A14" s="86" t="s">
        <v>716</v>
      </c>
      <c r="B14" s="87" t="s">
        <v>717</v>
      </c>
      <c r="C14" s="90">
        <f>C15</f>
        <v>2317.4</v>
      </c>
      <c r="D14" s="90">
        <f>D15</f>
        <v>2355.6</v>
      </c>
    </row>
    <row r="15" spans="1:4" ht="31.5">
      <c r="A15" s="86" t="s">
        <v>718</v>
      </c>
      <c r="B15" s="87" t="s">
        <v>719</v>
      </c>
      <c r="C15" s="90">
        <f>C16+C17+C18+C19</f>
        <v>2317.4</v>
      </c>
      <c r="D15" s="90">
        <f>D16+D17+D18+D19</f>
        <v>2355.6</v>
      </c>
    </row>
    <row r="16" spans="1:4" ht="78.75">
      <c r="A16" s="88" t="s">
        <v>720</v>
      </c>
      <c r="B16" s="89" t="s">
        <v>721</v>
      </c>
      <c r="C16" s="93">
        <v>858.1</v>
      </c>
      <c r="D16" s="123">
        <v>967.9</v>
      </c>
    </row>
    <row r="17" spans="1:4" ht="94.5">
      <c r="A17" s="88" t="s">
        <v>722</v>
      </c>
      <c r="B17" s="89" t="s">
        <v>723</v>
      </c>
      <c r="C17" s="93">
        <v>8</v>
      </c>
      <c r="D17" s="123">
        <v>9.8</v>
      </c>
    </row>
    <row r="18" spans="1:4" ht="78.75">
      <c r="A18" s="88" t="s">
        <v>724</v>
      </c>
      <c r="B18" s="89" t="s">
        <v>725</v>
      </c>
      <c r="C18" s="93">
        <v>1596.7</v>
      </c>
      <c r="D18" s="123">
        <v>1565.3</v>
      </c>
    </row>
    <row r="19" spans="1:4" ht="78.75">
      <c r="A19" s="88" t="s">
        <v>726</v>
      </c>
      <c r="B19" s="89" t="s">
        <v>727</v>
      </c>
      <c r="C19" s="93">
        <v>-145.4</v>
      </c>
      <c r="D19" s="123">
        <v>-187.4</v>
      </c>
    </row>
    <row r="20" spans="1:4" ht="12.75">
      <c r="A20" s="86" t="s">
        <v>728</v>
      </c>
      <c r="B20" s="87" t="s">
        <v>729</v>
      </c>
      <c r="C20" s="90">
        <f>C21+C26+C24</f>
        <v>37704.1</v>
      </c>
      <c r="D20" s="90">
        <f>D21+D26+D24</f>
        <v>37244.299999999996</v>
      </c>
    </row>
    <row r="21" spans="1:4" ht="31.5">
      <c r="A21" s="86" t="s">
        <v>730</v>
      </c>
      <c r="B21" s="87" t="s">
        <v>731</v>
      </c>
      <c r="C21" s="90">
        <f>C22+C23</f>
        <v>33354.2</v>
      </c>
      <c r="D21" s="90">
        <f>D22+D23</f>
        <v>29839.8</v>
      </c>
    </row>
    <row r="22" spans="1:4" ht="31.5">
      <c r="A22" s="88" t="s">
        <v>732</v>
      </c>
      <c r="B22" s="89" t="s">
        <v>731</v>
      </c>
      <c r="C22" s="93">
        <v>33340</v>
      </c>
      <c r="D22" s="93">
        <v>29825.6</v>
      </c>
    </row>
    <row r="23" spans="1:4" ht="47.25">
      <c r="A23" s="88" t="s">
        <v>733</v>
      </c>
      <c r="B23" s="89" t="s">
        <v>734</v>
      </c>
      <c r="C23" s="93">
        <v>14.2</v>
      </c>
      <c r="D23" s="93">
        <v>14.2</v>
      </c>
    </row>
    <row r="24" spans="1:4" ht="12.75">
      <c r="A24" s="91" t="s">
        <v>735</v>
      </c>
      <c r="B24" s="87" t="s">
        <v>736</v>
      </c>
      <c r="C24" s="90">
        <f>C25</f>
        <v>0.9</v>
      </c>
      <c r="D24" s="90">
        <f>D25</f>
        <v>0.7</v>
      </c>
    </row>
    <row r="25" spans="1:4" ht="12.75">
      <c r="A25" s="92" t="s">
        <v>737</v>
      </c>
      <c r="B25" s="89" t="s">
        <v>736</v>
      </c>
      <c r="C25" s="93">
        <v>0.9</v>
      </c>
      <c r="D25" s="93">
        <v>0.7</v>
      </c>
    </row>
    <row r="26" spans="1:4" ht="31.5">
      <c r="A26" s="91" t="s">
        <v>738</v>
      </c>
      <c r="B26" s="87" t="s">
        <v>739</v>
      </c>
      <c r="C26" s="90">
        <f>C27</f>
        <v>4349</v>
      </c>
      <c r="D26" s="90">
        <f>D27</f>
        <v>7403.8</v>
      </c>
    </row>
    <row r="27" spans="1:4" ht="47.25">
      <c r="A27" s="92" t="s">
        <v>740</v>
      </c>
      <c r="B27" s="89" t="s">
        <v>741</v>
      </c>
      <c r="C27" s="93">
        <v>4349</v>
      </c>
      <c r="D27" s="93">
        <v>7403.8</v>
      </c>
    </row>
    <row r="28" spans="1:4" ht="12.75">
      <c r="A28" s="86" t="s">
        <v>742</v>
      </c>
      <c r="B28" s="87" t="s">
        <v>743</v>
      </c>
      <c r="C28" s="124">
        <f>C29+C31</f>
        <v>61088</v>
      </c>
      <c r="D28" s="124">
        <f>D29+D31</f>
        <v>62986.8</v>
      </c>
    </row>
    <row r="29" spans="1:4" ht="12.75">
      <c r="A29" s="86" t="s">
        <v>744</v>
      </c>
      <c r="B29" s="87" t="s">
        <v>745</v>
      </c>
      <c r="C29" s="90">
        <f>C30</f>
        <v>13100</v>
      </c>
      <c r="D29" s="90">
        <f>D30</f>
        <v>13144</v>
      </c>
    </row>
    <row r="30" spans="1:4" ht="47.25">
      <c r="A30" s="88" t="s">
        <v>746</v>
      </c>
      <c r="B30" s="89" t="s">
        <v>747</v>
      </c>
      <c r="C30" s="95">
        <f>9668+3432</f>
        <v>13100</v>
      </c>
      <c r="D30" s="95">
        <v>13144</v>
      </c>
    </row>
    <row r="31" spans="1:4" ht="12.75">
      <c r="A31" s="86" t="s">
        <v>748</v>
      </c>
      <c r="B31" s="87" t="s">
        <v>749</v>
      </c>
      <c r="C31" s="90">
        <f>C32+C34</f>
        <v>47988</v>
      </c>
      <c r="D31" s="90">
        <f>D32+D34</f>
        <v>49842.8</v>
      </c>
    </row>
    <row r="32" spans="1:4" ht="12.75">
      <c r="A32" s="88" t="s">
        <v>750</v>
      </c>
      <c r="B32" s="89" t="s">
        <v>751</v>
      </c>
      <c r="C32" s="93">
        <f>C33</f>
        <v>37600</v>
      </c>
      <c r="D32" s="93">
        <f>D33</f>
        <v>38628.8</v>
      </c>
    </row>
    <row r="33" spans="1:4" ht="31.5">
      <c r="A33" s="88" t="s">
        <v>752</v>
      </c>
      <c r="B33" s="89" t="s">
        <v>753</v>
      </c>
      <c r="C33" s="95">
        <f>31634+5966</f>
        <v>37600</v>
      </c>
      <c r="D33" s="93">
        <v>38628.8</v>
      </c>
    </row>
    <row r="34" spans="1:4" ht="12.75">
      <c r="A34" s="88" t="s">
        <v>754</v>
      </c>
      <c r="B34" s="89" t="s">
        <v>755</v>
      </c>
      <c r="C34" s="93">
        <f>C35</f>
        <v>10388</v>
      </c>
      <c r="D34" s="93">
        <f>D35</f>
        <v>11214</v>
      </c>
    </row>
    <row r="35" spans="1:4" ht="47.25">
      <c r="A35" s="88" t="s">
        <v>756</v>
      </c>
      <c r="B35" s="89" t="s">
        <v>757</v>
      </c>
      <c r="C35" s="95">
        <f>5154+5234</f>
        <v>10388</v>
      </c>
      <c r="D35" s="95">
        <v>11214</v>
      </c>
    </row>
    <row r="36" spans="1:4" ht="12.75">
      <c r="A36" s="86" t="s">
        <v>758</v>
      </c>
      <c r="B36" s="87" t="s">
        <v>759</v>
      </c>
      <c r="C36" s="90">
        <f>C37+C39</f>
        <v>3668.4</v>
      </c>
      <c r="D36" s="90">
        <f>D37+D39</f>
        <v>3769.1</v>
      </c>
    </row>
    <row r="37" spans="1:4" ht="31.5">
      <c r="A37" s="86" t="s">
        <v>760</v>
      </c>
      <c r="B37" s="87" t="s">
        <v>761</v>
      </c>
      <c r="C37" s="90">
        <f>C38</f>
        <v>3638.4</v>
      </c>
      <c r="D37" s="90">
        <f>D38</f>
        <v>3769.1</v>
      </c>
    </row>
    <row r="38" spans="1:4" ht="47.25">
      <c r="A38" s="88" t="s">
        <v>762</v>
      </c>
      <c r="B38" s="89" t="s">
        <v>763</v>
      </c>
      <c r="C38" s="95">
        <f>4308-669.6</f>
        <v>3638.4</v>
      </c>
      <c r="D38" s="95">
        <v>3769.1</v>
      </c>
    </row>
    <row r="39" spans="1:4" ht="47.25">
      <c r="A39" s="86" t="s">
        <v>764</v>
      </c>
      <c r="B39" s="87" t="s">
        <v>765</v>
      </c>
      <c r="C39" s="94">
        <f aca="true" t="shared" si="0" ref="C39:D39">C40</f>
        <v>30</v>
      </c>
      <c r="D39" s="94">
        <f t="shared" si="0"/>
        <v>0</v>
      </c>
    </row>
    <row r="40" spans="1:4" ht="31.5">
      <c r="A40" s="88" t="s">
        <v>766</v>
      </c>
      <c r="B40" s="89" t="s">
        <v>767</v>
      </c>
      <c r="C40" s="95">
        <v>30</v>
      </c>
      <c r="D40" s="95">
        <v>0</v>
      </c>
    </row>
    <row r="41" spans="1:4" ht="47.25">
      <c r="A41" s="86" t="s">
        <v>768</v>
      </c>
      <c r="B41" s="87" t="s">
        <v>769</v>
      </c>
      <c r="C41" s="90">
        <f>C42+C49+C52</f>
        <v>35046.4</v>
      </c>
      <c r="D41" s="90">
        <f>D42+D49+D52</f>
        <v>37337.6</v>
      </c>
    </row>
    <row r="42" spans="1:4" ht="110.25">
      <c r="A42" s="86" t="s">
        <v>770</v>
      </c>
      <c r="B42" s="87" t="s">
        <v>771</v>
      </c>
      <c r="C42" s="90">
        <f>C43+C45+C47</f>
        <v>33659</v>
      </c>
      <c r="D42" s="90">
        <f>D43+D45+D47</f>
        <v>34992.5</v>
      </c>
    </row>
    <row r="43" spans="1:4" ht="78.75">
      <c r="A43" s="88" t="s">
        <v>772</v>
      </c>
      <c r="B43" s="89" t="s">
        <v>773</v>
      </c>
      <c r="C43" s="93">
        <f>C44</f>
        <v>15767</v>
      </c>
      <c r="D43" s="93">
        <f>D44</f>
        <v>17257.6</v>
      </c>
    </row>
    <row r="44" spans="1:4" ht="94.5">
      <c r="A44" s="88" t="s">
        <v>774</v>
      </c>
      <c r="B44" s="89" t="s">
        <v>775</v>
      </c>
      <c r="C44" s="93">
        <v>15767</v>
      </c>
      <c r="D44" s="93">
        <v>17257.6</v>
      </c>
    </row>
    <row r="45" spans="1:4" ht="94.5">
      <c r="A45" s="88" t="s">
        <v>776</v>
      </c>
      <c r="B45" s="89" t="s">
        <v>777</v>
      </c>
      <c r="C45" s="95">
        <f>C46</f>
        <v>1780</v>
      </c>
      <c r="D45" s="95">
        <f>D46</f>
        <v>2050.7</v>
      </c>
    </row>
    <row r="46" spans="1:4" ht="78.75">
      <c r="A46" s="88" t="s">
        <v>778</v>
      </c>
      <c r="B46" s="89" t="s">
        <v>779</v>
      </c>
      <c r="C46" s="93">
        <v>1780</v>
      </c>
      <c r="D46" s="93">
        <v>2050.7</v>
      </c>
    </row>
    <row r="47" spans="1:4" ht="47.25">
      <c r="A47" s="88" t="s">
        <v>780</v>
      </c>
      <c r="B47" s="89" t="s">
        <v>781</v>
      </c>
      <c r="C47" s="93">
        <f>C48</f>
        <v>16112</v>
      </c>
      <c r="D47" s="93">
        <f>D48</f>
        <v>15684.2</v>
      </c>
    </row>
    <row r="48" spans="1:4" ht="47.25">
      <c r="A48" s="88" t="s">
        <v>782</v>
      </c>
      <c r="B48" s="89" t="s">
        <v>783</v>
      </c>
      <c r="C48" s="93">
        <v>16112</v>
      </c>
      <c r="D48" s="123">
        <v>15684.2</v>
      </c>
    </row>
    <row r="49" spans="1:4" ht="31.5">
      <c r="A49" s="86" t="s">
        <v>784</v>
      </c>
      <c r="B49" s="87" t="s">
        <v>785</v>
      </c>
      <c r="C49" s="90">
        <f aca="true" t="shared" si="1" ref="C49:D50">C50</f>
        <v>551.6</v>
      </c>
      <c r="D49" s="90">
        <f t="shared" si="1"/>
        <v>1317.4</v>
      </c>
    </row>
    <row r="50" spans="1:4" ht="47.25">
      <c r="A50" s="88" t="s">
        <v>786</v>
      </c>
      <c r="B50" s="89" t="s">
        <v>787</v>
      </c>
      <c r="C50" s="93">
        <f t="shared" si="1"/>
        <v>551.6</v>
      </c>
      <c r="D50" s="93">
        <f t="shared" si="1"/>
        <v>1317.4</v>
      </c>
    </row>
    <row r="51" spans="1:4" ht="63">
      <c r="A51" s="88" t="s">
        <v>788</v>
      </c>
      <c r="B51" s="89" t="s">
        <v>789</v>
      </c>
      <c r="C51" s="93">
        <v>551.6</v>
      </c>
      <c r="D51" s="93">
        <v>1317.4</v>
      </c>
    </row>
    <row r="52" spans="1:4" ht="94.5">
      <c r="A52" s="86" t="s">
        <v>790</v>
      </c>
      <c r="B52" s="87" t="s">
        <v>791</v>
      </c>
      <c r="C52" s="90">
        <f aca="true" t="shared" si="2" ref="C52:D53">C53</f>
        <v>835.8</v>
      </c>
      <c r="D52" s="90">
        <f t="shared" si="2"/>
        <v>1027.7</v>
      </c>
    </row>
    <row r="53" spans="1:4" ht="94.5">
      <c r="A53" s="88" t="s">
        <v>792</v>
      </c>
      <c r="B53" s="89" t="s">
        <v>793</v>
      </c>
      <c r="C53" s="93">
        <f t="shared" si="2"/>
        <v>835.8</v>
      </c>
      <c r="D53" s="93">
        <f t="shared" si="2"/>
        <v>1027.7</v>
      </c>
    </row>
    <row r="54" spans="1:4" ht="94.5">
      <c r="A54" s="88" t="s">
        <v>794</v>
      </c>
      <c r="B54" s="89" t="s">
        <v>795</v>
      </c>
      <c r="C54" s="93">
        <v>835.8</v>
      </c>
      <c r="D54" s="93">
        <v>1027.7</v>
      </c>
    </row>
    <row r="55" spans="1:4" ht="31.5">
      <c r="A55" s="86" t="s">
        <v>796</v>
      </c>
      <c r="B55" s="87" t="s">
        <v>797</v>
      </c>
      <c r="C55" s="90">
        <f>C56</f>
        <v>2483.5</v>
      </c>
      <c r="D55" s="90">
        <f>D56</f>
        <v>216.5</v>
      </c>
    </row>
    <row r="56" spans="1:4" ht="31.5">
      <c r="A56" s="86" t="s">
        <v>798</v>
      </c>
      <c r="B56" s="87" t="s">
        <v>799</v>
      </c>
      <c r="C56" s="90">
        <f>SUM(C57:C60)</f>
        <v>2483.5</v>
      </c>
      <c r="D56" s="90">
        <f>SUM(D57:D60)</f>
        <v>216.5</v>
      </c>
    </row>
    <row r="57" spans="1:4" ht="31.5">
      <c r="A57" s="96" t="s">
        <v>800</v>
      </c>
      <c r="B57" s="89" t="s">
        <v>801</v>
      </c>
      <c r="C57" s="93">
        <v>1450.6</v>
      </c>
      <c r="D57" s="93">
        <v>178.5</v>
      </c>
    </row>
    <row r="58" spans="1:4" ht="31.5">
      <c r="A58" s="96" t="s">
        <v>802</v>
      </c>
      <c r="B58" s="89" t="s">
        <v>803</v>
      </c>
      <c r="C58" s="93">
        <v>0.5</v>
      </c>
      <c r="D58" s="93">
        <v>0.7</v>
      </c>
    </row>
    <row r="59" spans="1:4" ht="12.75">
      <c r="A59" s="96" t="s">
        <v>804</v>
      </c>
      <c r="B59" s="89" t="s">
        <v>805</v>
      </c>
      <c r="C59" s="93">
        <v>960.2</v>
      </c>
      <c r="D59" s="125">
        <v>156.5</v>
      </c>
    </row>
    <row r="60" spans="1:4" ht="12.75">
      <c r="A60" s="96" t="s">
        <v>806</v>
      </c>
      <c r="B60" s="89" t="s">
        <v>807</v>
      </c>
      <c r="C60" s="93">
        <v>72.2</v>
      </c>
      <c r="D60" s="93">
        <v>-119.2</v>
      </c>
    </row>
    <row r="61" spans="1:4" ht="31.5">
      <c r="A61" s="86" t="s">
        <v>808</v>
      </c>
      <c r="B61" s="87" t="s">
        <v>809</v>
      </c>
      <c r="C61" s="90">
        <f>C62+C65</f>
        <v>1735.3</v>
      </c>
      <c r="D61" s="90">
        <f>D62+D65</f>
        <v>1918.4</v>
      </c>
    </row>
    <row r="62" spans="1:4" ht="12.75">
      <c r="A62" s="97" t="s">
        <v>810</v>
      </c>
      <c r="B62" s="87" t="s">
        <v>811</v>
      </c>
      <c r="C62" s="90">
        <f aca="true" t="shared" si="3" ref="C62:D63">C63</f>
        <v>1524.6</v>
      </c>
      <c r="D62" s="125">
        <f t="shared" si="3"/>
        <v>1635.7</v>
      </c>
    </row>
    <row r="63" spans="1:4" ht="12.75">
      <c r="A63" s="96" t="s">
        <v>812</v>
      </c>
      <c r="B63" s="89" t="s">
        <v>813</v>
      </c>
      <c r="C63" s="93">
        <f t="shared" si="3"/>
        <v>1524.6</v>
      </c>
      <c r="D63" s="93">
        <f t="shared" si="3"/>
        <v>1635.7</v>
      </c>
    </row>
    <row r="64" spans="1:4" ht="31.5">
      <c r="A64" s="96" t="s">
        <v>814</v>
      </c>
      <c r="B64" s="89" t="s">
        <v>815</v>
      </c>
      <c r="C64" s="93">
        <v>1524.6</v>
      </c>
      <c r="D64" s="93">
        <v>1635.7</v>
      </c>
    </row>
    <row r="65" spans="1:4" ht="12.75">
      <c r="A65" s="97" t="s">
        <v>816</v>
      </c>
      <c r="B65" s="87" t="s">
        <v>817</v>
      </c>
      <c r="C65" s="90">
        <f>C66</f>
        <v>210.7</v>
      </c>
      <c r="D65" s="90">
        <f>D66</f>
        <v>282.7</v>
      </c>
    </row>
    <row r="66" spans="1:4" ht="12.75">
      <c r="A66" s="96" t="s">
        <v>818</v>
      </c>
      <c r="B66" s="89" t="s">
        <v>819</v>
      </c>
      <c r="C66" s="93">
        <f>C67</f>
        <v>210.7</v>
      </c>
      <c r="D66" s="93">
        <f>D67</f>
        <v>282.7</v>
      </c>
    </row>
    <row r="67" spans="1:4" ht="31.5">
      <c r="A67" s="96" t="s">
        <v>820</v>
      </c>
      <c r="B67" s="89" t="s">
        <v>821</v>
      </c>
      <c r="C67" s="93">
        <v>210.7</v>
      </c>
      <c r="D67" s="93">
        <v>282.7</v>
      </c>
    </row>
    <row r="68" spans="1:4" ht="31.5">
      <c r="A68" s="86" t="s">
        <v>822</v>
      </c>
      <c r="B68" s="87" t="s">
        <v>823</v>
      </c>
      <c r="C68" s="90">
        <f>C69+C73</f>
        <v>14079.100000000006</v>
      </c>
      <c r="D68" s="90">
        <f>D69+D73</f>
        <v>15058.100000000002</v>
      </c>
    </row>
    <row r="69" spans="1:4" ht="94.5">
      <c r="A69" s="86" t="s">
        <v>824</v>
      </c>
      <c r="B69" s="87" t="s">
        <v>825</v>
      </c>
      <c r="C69" s="90">
        <f aca="true" t="shared" si="4" ref="C69:D69">C70</f>
        <v>10444.300000000005</v>
      </c>
      <c r="D69" s="90">
        <f t="shared" si="4"/>
        <v>12399.800000000001</v>
      </c>
    </row>
    <row r="70" spans="1:4" ht="110.25">
      <c r="A70" s="88" t="s">
        <v>826</v>
      </c>
      <c r="B70" s="89" t="s">
        <v>827</v>
      </c>
      <c r="C70" s="93">
        <f>C71+C72</f>
        <v>10444.300000000005</v>
      </c>
      <c r="D70" s="93">
        <f>D71+D72</f>
        <v>12399.800000000001</v>
      </c>
    </row>
    <row r="71" spans="1:4" ht="94.5">
      <c r="A71" s="88" t="s">
        <v>828</v>
      </c>
      <c r="B71" s="89" t="s">
        <v>829</v>
      </c>
      <c r="C71" s="93">
        <f>10444.2+31355.9-31355.9</f>
        <v>10444.200000000004</v>
      </c>
      <c r="D71" s="93">
        <v>12399.7</v>
      </c>
    </row>
    <row r="72" spans="1:4" ht="94.5">
      <c r="A72" s="88" t="s">
        <v>830</v>
      </c>
      <c r="B72" s="89" t="s">
        <v>831</v>
      </c>
      <c r="C72" s="93">
        <v>0.1</v>
      </c>
      <c r="D72" s="93">
        <v>0.1</v>
      </c>
    </row>
    <row r="73" spans="1:4" ht="31.5">
      <c r="A73" s="86" t="s">
        <v>832</v>
      </c>
      <c r="B73" s="87" t="s">
        <v>833</v>
      </c>
      <c r="C73" s="90">
        <f>C74</f>
        <v>3634.8</v>
      </c>
      <c r="D73" s="90">
        <f>D74</f>
        <v>2658.3</v>
      </c>
    </row>
    <row r="74" spans="1:4" ht="31.5">
      <c r="A74" s="88" t="s">
        <v>834</v>
      </c>
      <c r="B74" s="89" t="s">
        <v>835</v>
      </c>
      <c r="C74" s="93">
        <f>C75</f>
        <v>3634.8</v>
      </c>
      <c r="D74" s="93">
        <f>D75</f>
        <v>2658.3</v>
      </c>
    </row>
    <row r="75" spans="1:4" ht="47.25">
      <c r="A75" s="88" t="s">
        <v>836</v>
      </c>
      <c r="B75" s="89" t="s">
        <v>837</v>
      </c>
      <c r="C75" s="93">
        <v>3634.8</v>
      </c>
      <c r="D75" s="93">
        <v>2658.3</v>
      </c>
    </row>
    <row r="76" spans="1:4" ht="12.75">
      <c r="A76" s="86" t="s">
        <v>838</v>
      </c>
      <c r="B76" s="87" t="s">
        <v>839</v>
      </c>
      <c r="C76" s="90">
        <f>C77+C84+C87+C94+C97+C99+C80+C81+C88+C92+C96</f>
        <v>4978.1</v>
      </c>
      <c r="D76" s="90">
        <f>D77+D84+D87+D94+D97+D99+D80+D81+D88+D92+D96</f>
        <v>10438.2</v>
      </c>
    </row>
    <row r="77" spans="1:4" ht="31.5">
      <c r="A77" s="86" t="s">
        <v>840</v>
      </c>
      <c r="B77" s="87" t="s">
        <v>841</v>
      </c>
      <c r="C77" s="90">
        <f>C78+C79</f>
        <v>35.5</v>
      </c>
      <c r="D77" s="90">
        <f>D78+D79</f>
        <v>138.4</v>
      </c>
    </row>
    <row r="78" spans="1:4" ht="94.5">
      <c r="A78" s="88" t="s">
        <v>842</v>
      </c>
      <c r="B78" s="89" t="s">
        <v>843</v>
      </c>
      <c r="C78" s="93">
        <f>55/2</f>
        <v>27.5</v>
      </c>
      <c r="D78" s="93">
        <v>126.5</v>
      </c>
    </row>
    <row r="79" spans="1:4" ht="63">
      <c r="A79" s="88" t="s">
        <v>844</v>
      </c>
      <c r="B79" s="89" t="s">
        <v>845</v>
      </c>
      <c r="C79" s="93">
        <f>16/2</f>
        <v>8</v>
      </c>
      <c r="D79" s="93">
        <v>11.9</v>
      </c>
    </row>
    <row r="80" spans="1:4" ht="78.75">
      <c r="A80" s="97" t="s">
        <v>846</v>
      </c>
      <c r="B80" s="87" t="s">
        <v>847</v>
      </c>
      <c r="C80" s="90">
        <v>31</v>
      </c>
      <c r="D80" s="90">
        <v>40</v>
      </c>
    </row>
    <row r="81" spans="1:4" ht="78.75">
      <c r="A81" s="86" t="s">
        <v>848</v>
      </c>
      <c r="B81" s="87" t="s">
        <v>849</v>
      </c>
      <c r="C81" s="90">
        <f>C82+C83</f>
        <v>109.60000000000001</v>
      </c>
      <c r="D81" s="90">
        <f>D82+D83</f>
        <v>116.4</v>
      </c>
    </row>
    <row r="82" spans="1:4" ht="63">
      <c r="A82" s="88" t="s">
        <v>850</v>
      </c>
      <c r="B82" s="89" t="s">
        <v>851</v>
      </c>
      <c r="C82" s="93">
        <f>5+104.2</f>
        <v>109.2</v>
      </c>
      <c r="D82" s="93">
        <v>116</v>
      </c>
    </row>
    <row r="83" spans="1:4" ht="63">
      <c r="A83" s="88" t="s">
        <v>852</v>
      </c>
      <c r="B83" s="89" t="s">
        <v>853</v>
      </c>
      <c r="C83" s="93">
        <v>0.4</v>
      </c>
      <c r="D83" s="93">
        <v>0.4</v>
      </c>
    </row>
    <row r="84" spans="1:4" ht="126">
      <c r="A84" s="86" t="s">
        <v>854</v>
      </c>
      <c r="B84" s="87" t="s">
        <v>855</v>
      </c>
      <c r="C84" s="90">
        <f>C86+C85</f>
        <v>717.5</v>
      </c>
      <c r="D84" s="90">
        <f>D86+D85</f>
        <v>336.2</v>
      </c>
    </row>
    <row r="85" spans="1:4" ht="31.5">
      <c r="A85" s="88" t="s">
        <v>856</v>
      </c>
      <c r="B85" s="89" t="s">
        <v>857</v>
      </c>
      <c r="C85" s="93">
        <v>36.5</v>
      </c>
      <c r="D85" s="93">
        <v>36.5</v>
      </c>
    </row>
    <row r="86" spans="1:4" ht="31.5">
      <c r="A86" s="88" t="s">
        <v>858</v>
      </c>
      <c r="B86" s="89" t="s">
        <v>859</v>
      </c>
      <c r="C86" s="93">
        <f>681</f>
        <v>681</v>
      </c>
      <c r="D86" s="93">
        <v>299.7</v>
      </c>
    </row>
    <row r="87" spans="1:4" ht="63">
      <c r="A87" s="86" t="s">
        <v>860</v>
      </c>
      <c r="B87" s="87" t="s">
        <v>861</v>
      </c>
      <c r="C87" s="90">
        <f>3000-1397.1</f>
        <v>1602.9</v>
      </c>
      <c r="D87" s="90">
        <v>1446.3</v>
      </c>
    </row>
    <row r="88" spans="1:4" ht="31.5">
      <c r="A88" s="86" t="s">
        <v>862</v>
      </c>
      <c r="B88" s="87" t="s">
        <v>863</v>
      </c>
      <c r="C88" s="90">
        <f>C89+C91</f>
        <v>170</v>
      </c>
      <c r="D88" s="90">
        <f>D89+D91</f>
        <v>174</v>
      </c>
    </row>
    <row r="89" spans="1:4" ht="47.25">
      <c r="A89" s="88" t="s">
        <v>864</v>
      </c>
      <c r="B89" s="89" t="s">
        <v>865</v>
      </c>
      <c r="C89" s="93">
        <f>C90</f>
        <v>5</v>
      </c>
      <c r="D89" s="123">
        <f>D90</f>
        <v>5</v>
      </c>
    </row>
    <row r="90" spans="1:4" ht="63">
      <c r="A90" s="88" t="s">
        <v>866</v>
      </c>
      <c r="B90" s="89" t="s">
        <v>867</v>
      </c>
      <c r="C90" s="93">
        <v>5</v>
      </c>
      <c r="D90" s="93">
        <v>5</v>
      </c>
    </row>
    <row r="91" spans="1:4" ht="31.5">
      <c r="A91" s="88" t="s">
        <v>868</v>
      </c>
      <c r="B91" s="89" t="s">
        <v>869</v>
      </c>
      <c r="C91" s="93">
        <v>165</v>
      </c>
      <c r="D91" s="93">
        <v>169</v>
      </c>
    </row>
    <row r="92" spans="1:4" ht="78.75">
      <c r="A92" s="86" t="s">
        <v>870</v>
      </c>
      <c r="B92" s="87" t="s">
        <v>871</v>
      </c>
      <c r="C92" s="90">
        <f>C93</f>
        <v>143</v>
      </c>
      <c r="D92" s="90">
        <f>D93</f>
        <v>143</v>
      </c>
    </row>
    <row r="93" spans="1:4" ht="78.75">
      <c r="A93" s="88" t="s">
        <v>872</v>
      </c>
      <c r="B93" s="89" t="s">
        <v>873</v>
      </c>
      <c r="C93" s="93">
        <v>143</v>
      </c>
      <c r="D93" s="93">
        <v>143</v>
      </c>
    </row>
    <row r="94" spans="1:4" ht="63">
      <c r="A94" s="86" t="s">
        <v>874</v>
      </c>
      <c r="B94" s="87" t="s">
        <v>875</v>
      </c>
      <c r="C94" s="90">
        <f>C95</f>
        <v>124</v>
      </c>
      <c r="D94" s="90">
        <f>D95</f>
        <v>4271.7</v>
      </c>
    </row>
    <row r="95" spans="1:4" ht="78.75">
      <c r="A95" s="98" t="s">
        <v>876</v>
      </c>
      <c r="B95" s="89" t="s">
        <v>877</v>
      </c>
      <c r="C95" s="93">
        <f>124</f>
        <v>124</v>
      </c>
      <c r="D95" s="93">
        <v>4271.7</v>
      </c>
    </row>
    <row r="96" spans="1:4" ht="78.75">
      <c r="A96" s="86" t="s">
        <v>878</v>
      </c>
      <c r="B96" s="87" t="s">
        <v>879</v>
      </c>
      <c r="C96" s="90">
        <v>30.7</v>
      </c>
      <c r="D96" s="90">
        <v>33.9</v>
      </c>
    </row>
    <row r="97" spans="1:4" ht="47.25">
      <c r="A97" s="97" t="s">
        <v>880</v>
      </c>
      <c r="B97" s="87" t="s">
        <v>881</v>
      </c>
      <c r="C97" s="90">
        <f>C98</f>
        <v>48.5</v>
      </c>
      <c r="D97" s="90">
        <f>D98</f>
        <v>25.8</v>
      </c>
    </row>
    <row r="98" spans="1:4" ht="63">
      <c r="A98" s="96" t="s">
        <v>882</v>
      </c>
      <c r="B98" s="89" t="s">
        <v>883</v>
      </c>
      <c r="C98" s="93">
        <v>48.5</v>
      </c>
      <c r="D98" s="93">
        <v>25.8</v>
      </c>
    </row>
    <row r="99" spans="1:4" ht="31.5">
      <c r="A99" s="86" t="s">
        <v>884</v>
      </c>
      <c r="B99" s="87" t="s">
        <v>885</v>
      </c>
      <c r="C99" s="90">
        <f>C100</f>
        <v>1965.3999999999999</v>
      </c>
      <c r="D99" s="90">
        <f>D100</f>
        <v>3712.5</v>
      </c>
    </row>
    <row r="100" spans="1:4" ht="47.25">
      <c r="A100" s="88" t="s">
        <v>886</v>
      </c>
      <c r="B100" s="89" t="s">
        <v>887</v>
      </c>
      <c r="C100" s="93">
        <f>29.8+12+116.3+900+442.8+286+22.5+156</f>
        <v>1965.3999999999999</v>
      </c>
      <c r="D100" s="93">
        <v>3712.5</v>
      </c>
    </row>
    <row r="101" spans="1:4" ht="12.75">
      <c r="A101" s="86" t="s">
        <v>888</v>
      </c>
      <c r="B101" s="87" t="s">
        <v>889</v>
      </c>
      <c r="C101" s="90">
        <f>C102</f>
        <v>0.1</v>
      </c>
      <c r="D101" s="90">
        <f>D102</f>
        <v>0.1</v>
      </c>
    </row>
    <row r="102" spans="1:4" ht="12.75">
      <c r="A102" s="86" t="s">
        <v>890</v>
      </c>
      <c r="B102" s="87" t="s">
        <v>891</v>
      </c>
      <c r="C102" s="90">
        <f>C103</f>
        <v>0.1</v>
      </c>
      <c r="D102" s="90">
        <f>D103</f>
        <v>0.1</v>
      </c>
    </row>
    <row r="103" spans="1:4" ht="12.75">
      <c r="A103" s="88" t="s">
        <v>892</v>
      </c>
      <c r="B103" s="89" t="s">
        <v>893</v>
      </c>
      <c r="C103" s="93">
        <v>0.1</v>
      </c>
      <c r="D103" s="93">
        <v>0.1</v>
      </c>
    </row>
    <row r="104" spans="1:4" ht="12.75">
      <c r="A104" s="86" t="s">
        <v>894</v>
      </c>
      <c r="B104" s="87" t="s">
        <v>895</v>
      </c>
      <c r="C104" s="90">
        <f>C105+C149+C153</f>
        <v>389545.2</v>
      </c>
      <c r="D104" s="90">
        <f>D105+D149+D153+D156+D160</f>
        <v>376006.99999999994</v>
      </c>
    </row>
    <row r="105" spans="1:4" ht="47.25">
      <c r="A105" s="99" t="s">
        <v>896</v>
      </c>
      <c r="B105" s="100" t="s">
        <v>897</v>
      </c>
      <c r="C105" s="90">
        <f>C132+C106+C109+C146</f>
        <v>388315</v>
      </c>
      <c r="D105" s="90">
        <f>D132+D106+D109+D146</f>
        <v>374789.69999999995</v>
      </c>
    </row>
    <row r="106" spans="1:4" ht="31.5">
      <c r="A106" s="101" t="s">
        <v>898</v>
      </c>
      <c r="B106" s="102" t="s">
        <v>899</v>
      </c>
      <c r="C106" s="90">
        <f aca="true" t="shared" si="5" ref="C106:D107">C107</f>
        <v>11345</v>
      </c>
      <c r="D106" s="90">
        <f t="shared" si="5"/>
        <v>11345</v>
      </c>
    </row>
    <row r="107" spans="1:4" ht="31.5">
      <c r="A107" s="88" t="s">
        <v>900</v>
      </c>
      <c r="B107" s="103" t="s">
        <v>901</v>
      </c>
      <c r="C107" s="93">
        <f t="shared" si="5"/>
        <v>11345</v>
      </c>
      <c r="D107" s="93">
        <f t="shared" si="5"/>
        <v>11345</v>
      </c>
    </row>
    <row r="108" spans="1:4" ht="31.5">
      <c r="A108" s="88" t="s">
        <v>902</v>
      </c>
      <c r="B108" s="103" t="s">
        <v>903</v>
      </c>
      <c r="C108" s="93">
        <f>11112+11578-11345</f>
        <v>11345</v>
      </c>
      <c r="D108" s="93">
        <v>11345</v>
      </c>
    </row>
    <row r="109" spans="1:4" ht="31.5">
      <c r="A109" s="99" t="s">
        <v>904</v>
      </c>
      <c r="B109" s="100" t="s">
        <v>905</v>
      </c>
      <c r="C109" s="90">
        <f>C120+C112+C110+C114+C116+C118</f>
        <v>88827.6</v>
      </c>
      <c r="D109" s="90">
        <f>D120+D112+D110+D114+D116+D118</f>
        <v>75302.3</v>
      </c>
    </row>
    <row r="110" spans="1:4" ht="31.5">
      <c r="A110" s="88" t="s">
        <v>906</v>
      </c>
      <c r="B110" s="104" t="s">
        <v>907</v>
      </c>
      <c r="C110" s="93">
        <f>C111</f>
        <v>1784.1</v>
      </c>
      <c r="D110" s="93">
        <f>D111</f>
        <v>1784.1</v>
      </c>
    </row>
    <row r="111" spans="1:4" ht="31.5">
      <c r="A111" s="88" t="s">
        <v>908</v>
      </c>
      <c r="B111" s="104" t="s">
        <v>909</v>
      </c>
      <c r="C111" s="93">
        <v>1784.1</v>
      </c>
      <c r="D111" s="93">
        <v>1784.1</v>
      </c>
    </row>
    <row r="112" spans="1:4" ht="94.5">
      <c r="A112" s="88" t="s">
        <v>910</v>
      </c>
      <c r="B112" s="104" t="s">
        <v>911</v>
      </c>
      <c r="C112" s="93">
        <f>C113</f>
        <v>57245.5</v>
      </c>
      <c r="D112" s="93">
        <f>D113</f>
        <v>44935.8</v>
      </c>
    </row>
    <row r="113" spans="1:4" ht="94.5">
      <c r="A113" s="88" t="s">
        <v>912</v>
      </c>
      <c r="B113" s="104" t="s">
        <v>913</v>
      </c>
      <c r="C113" s="93">
        <f>51687.7+5557.8</f>
        <v>57245.5</v>
      </c>
      <c r="D113" s="93">
        <v>44935.8</v>
      </c>
    </row>
    <row r="114" spans="1:4" ht="47.25">
      <c r="A114" s="88" t="s">
        <v>914</v>
      </c>
      <c r="B114" s="104" t="s">
        <v>915</v>
      </c>
      <c r="C114" s="93">
        <f>C115</f>
        <v>2855.7</v>
      </c>
      <c r="D114" s="93">
        <f>D115</f>
        <v>2855.7</v>
      </c>
    </row>
    <row r="115" spans="1:4" ht="47.25">
      <c r="A115" s="88" t="s">
        <v>916</v>
      </c>
      <c r="B115" s="104" t="s">
        <v>917</v>
      </c>
      <c r="C115" s="93">
        <v>2855.7</v>
      </c>
      <c r="D115" s="93">
        <v>2855.7</v>
      </c>
    </row>
    <row r="116" spans="1:4" ht="12.75">
      <c r="A116" s="88" t="s">
        <v>918</v>
      </c>
      <c r="B116" s="104" t="s">
        <v>919</v>
      </c>
      <c r="C116" s="93">
        <f>C117</f>
        <v>30</v>
      </c>
      <c r="D116" s="93">
        <f>D117</f>
        <v>0</v>
      </c>
    </row>
    <row r="117" spans="1:4" ht="31.5">
      <c r="A117" s="88" t="s">
        <v>920</v>
      </c>
      <c r="B117" s="104" t="s">
        <v>921</v>
      </c>
      <c r="C117" s="93">
        <v>30</v>
      </c>
      <c r="D117" s="93">
        <v>0</v>
      </c>
    </row>
    <row r="118" spans="1:4" ht="78.75">
      <c r="A118" s="88" t="s">
        <v>922</v>
      </c>
      <c r="B118" s="104" t="s">
        <v>923</v>
      </c>
      <c r="C118" s="93">
        <f>C119</f>
        <v>252.3</v>
      </c>
      <c r="D118" s="93">
        <f>D119</f>
        <v>252.3</v>
      </c>
    </row>
    <row r="119" spans="1:4" ht="78.75">
      <c r="A119" s="88" t="s">
        <v>924</v>
      </c>
      <c r="B119" s="104" t="s">
        <v>925</v>
      </c>
      <c r="C119" s="93">
        <v>252.3</v>
      </c>
      <c r="D119" s="93">
        <v>252.3</v>
      </c>
    </row>
    <row r="120" spans="1:4" ht="12.75">
      <c r="A120" s="88" t="s">
        <v>926</v>
      </c>
      <c r="B120" s="104" t="s">
        <v>927</v>
      </c>
      <c r="C120" s="93">
        <f>SUM(C121:C131)</f>
        <v>26660</v>
      </c>
      <c r="D120" s="93">
        <f>SUM(D121:D131)</f>
        <v>25474.399999999998</v>
      </c>
    </row>
    <row r="121" spans="1:4" ht="47.25">
      <c r="A121" s="88" t="s">
        <v>928</v>
      </c>
      <c r="B121" s="104" t="s">
        <v>516</v>
      </c>
      <c r="C121" s="93">
        <v>1477.9</v>
      </c>
      <c r="D121" s="93">
        <v>1413.8</v>
      </c>
    </row>
    <row r="122" spans="1:4" ht="31.5">
      <c r="A122" s="88" t="s">
        <v>928</v>
      </c>
      <c r="B122" s="104" t="s">
        <v>929</v>
      </c>
      <c r="C122" s="93">
        <v>485.9</v>
      </c>
      <c r="D122" s="93">
        <v>485.9</v>
      </c>
    </row>
    <row r="123" spans="1:4" ht="31.5">
      <c r="A123" s="88" t="s">
        <v>928</v>
      </c>
      <c r="B123" s="104" t="s">
        <v>519</v>
      </c>
      <c r="C123" s="93">
        <f>236.1+2829.8</f>
        <v>3065.9</v>
      </c>
      <c r="D123" s="93">
        <v>3065.9</v>
      </c>
    </row>
    <row r="124" spans="1:4" ht="47.25">
      <c r="A124" s="88" t="s">
        <v>928</v>
      </c>
      <c r="B124" s="104" t="s">
        <v>520</v>
      </c>
      <c r="C124" s="93">
        <v>4212.5</v>
      </c>
      <c r="D124" s="93">
        <v>4212.5</v>
      </c>
    </row>
    <row r="125" spans="1:4" ht="31.5">
      <c r="A125" s="88" t="s">
        <v>928</v>
      </c>
      <c r="B125" s="104" t="s">
        <v>558</v>
      </c>
      <c r="C125" s="93">
        <f>2980.9+2173</f>
        <v>5153.9</v>
      </c>
      <c r="D125" s="93">
        <v>4285.9</v>
      </c>
    </row>
    <row r="126" spans="1:4" ht="47.25">
      <c r="A126" s="88" t="s">
        <v>928</v>
      </c>
      <c r="B126" s="104" t="s">
        <v>580</v>
      </c>
      <c r="C126" s="93">
        <v>2467.2</v>
      </c>
      <c r="D126" s="93">
        <v>2234.7</v>
      </c>
    </row>
    <row r="127" spans="1:4" ht="78.75">
      <c r="A127" s="88" t="s">
        <v>928</v>
      </c>
      <c r="B127" s="104" t="s">
        <v>930</v>
      </c>
      <c r="C127" s="93">
        <v>205.9</v>
      </c>
      <c r="D127" s="93">
        <v>205.9</v>
      </c>
    </row>
    <row r="128" spans="1:4" ht="31.5">
      <c r="A128" s="88" t="s">
        <v>928</v>
      </c>
      <c r="B128" s="104" t="s">
        <v>600</v>
      </c>
      <c r="C128" s="93">
        <v>600</v>
      </c>
      <c r="D128" s="93">
        <v>579</v>
      </c>
    </row>
    <row r="129" spans="1:4" ht="47.25">
      <c r="A129" s="88" t="s">
        <v>928</v>
      </c>
      <c r="B129" s="104" t="s">
        <v>607</v>
      </c>
      <c r="C129" s="93">
        <f>4995+493.5</f>
        <v>5488.5</v>
      </c>
      <c r="D129" s="93">
        <v>5488.5</v>
      </c>
    </row>
    <row r="130" spans="1:4" ht="31.5">
      <c r="A130" s="88" t="s">
        <v>928</v>
      </c>
      <c r="B130" s="104" t="s">
        <v>606</v>
      </c>
      <c r="C130" s="93">
        <v>3403.3</v>
      </c>
      <c r="D130" s="93">
        <v>3403.3</v>
      </c>
    </row>
    <row r="131" spans="1:4" ht="47.25">
      <c r="A131" s="88" t="s">
        <v>928</v>
      </c>
      <c r="B131" s="104" t="s">
        <v>618</v>
      </c>
      <c r="C131" s="93">
        <v>99</v>
      </c>
      <c r="D131" s="93">
        <v>99</v>
      </c>
    </row>
    <row r="132" spans="1:4" ht="31.5">
      <c r="A132" s="99" t="s">
        <v>931</v>
      </c>
      <c r="B132" s="100" t="s">
        <v>932</v>
      </c>
      <c r="C132" s="90">
        <f>C137+C135+C139+C133</f>
        <v>287192.39999999997</v>
      </c>
      <c r="D132" s="90">
        <f>D137+D135+D139+D133</f>
        <v>287192.39999999997</v>
      </c>
    </row>
    <row r="133" spans="1:4" ht="78.75">
      <c r="A133" s="88" t="s">
        <v>933</v>
      </c>
      <c r="B133" s="104" t="s">
        <v>934</v>
      </c>
      <c r="C133" s="93">
        <f>C134</f>
        <v>9069.3</v>
      </c>
      <c r="D133" s="93">
        <f>D134</f>
        <v>9069.3</v>
      </c>
    </row>
    <row r="134" spans="1:4" ht="94.5">
      <c r="A134" s="105" t="s">
        <v>935</v>
      </c>
      <c r="B134" s="104" t="s">
        <v>936</v>
      </c>
      <c r="C134" s="93">
        <v>9069.3</v>
      </c>
      <c r="D134" s="93">
        <v>9069.3</v>
      </c>
    </row>
    <row r="135" spans="1:4" ht="78.75">
      <c r="A135" s="88" t="s">
        <v>937</v>
      </c>
      <c r="B135" s="104" t="s">
        <v>938</v>
      </c>
      <c r="C135" s="93">
        <f>C136</f>
        <v>5353</v>
      </c>
      <c r="D135" s="93">
        <f>D136</f>
        <v>5353</v>
      </c>
    </row>
    <row r="136" spans="1:4" ht="78.75">
      <c r="A136" s="88" t="s">
        <v>939</v>
      </c>
      <c r="B136" s="104" t="s">
        <v>940</v>
      </c>
      <c r="C136" s="93">
        <f>4282.4+1070.6</f>
        <v>5353</v>
      </c>
      <c r="D136" s="93">
        <v>5353</v>
      </c>
    </row>
    <row r="137" spans="1:4" ht="31.5">
      <c r="A137" s="88" t="s">
        <v>941</v>
      </c>
      <c r="B137" s="104" t="s">
        <v>942</v>
      </c>
      <c r="C137" s="93">
        <f>C138</f>
        <v>1393.5</v>
      </c>
      <c r="D137" s="93">
        <f>D138</f>
        <v>1393.5</v>
      </c>
    </row>
    <row r="138" spans="1:4" ht="47.25">
      <c r="A138" s="88" t="s">
        <v>943</v>
      </c>
      <c r="B138" s="104" t="s">
        <v>944</v>
      </c>
      <c r="C138" s="93">
        <f>1251.6+141.9</f>
        <v>1393.5</v>
      </c>
      <c r="D138" s="93">
        <v>1393.5</v>
      </c>
    </row>
    <row r="139" spans="1:4" ht="12.75">
      <c r="A139" s="88" t="s">
        <v>945</v>
      </c>
      <c r="B139" s="104" t="s">
        <v>946</v>
      </c>
      <c r="C139" s="93">
        <f>SUM(C140:C145)</f>
        <v>271376.6</v>
      </c>
      <c r="D139" s="93">
        <f>SUM(D140:D145)</f>
        <v>271376.6</v>
      </c>
    </row>
    <row r="140" spans="1:4" ht="110.25">
      <c r="A140" s="88" t="s">
        <v>947</v>
      </c>
      <c r="B140" s="104" t="s">
        <v>948</v>
      </c>
      <c r="C140" s="93">
        <f>176625+28</f>
        <v>176653</v>
      </c>
      <c r="D140" s="93">
        <v>176653</v>
      </c>
    </row>
    <row r="141" spans="1:4" ht="63">
      <c r="A141" s="88" t="s">
        <v>947</v>
      </c>
      <c r="B141" s="104" t="s">
        <v>949</v>
      </c>
      <c r="C141" s="93">
        <f>85439+680+4036.5+3255.7</f>
        <v>93411.2</v>
      </c>
      <c r="D141" s="93">
        <v>93411.2</v>
      </c>
    </row>
    <row r="142" spans="1:4" ht="63">
      <c r="A142" s="88" t="s">
        <v>947</v>
      </c>
      <c r="B142" s="104" t="s">
        <v>950</v>
      </c>
      <c r="C142" s="93">
        <v>650</v>
      </c>
      <c r="D142" s="93">
        <v>650</v>
      </c>
    </row>
    <row r="143" spans="1:4" ht="78.75">
      <c r="A143" s="88" t="s">
        <v>947</v>
      </c>
      <c r="B143" s="104" t="s">
        <v>951</v>
      </c>
      <c r="C143" s="93">
        <v>264</v>
      </c>
      <c r="D143" s="93">
        <v>264</v>
      </c>
    </row>
    <row r="144" spans="1:4" ht="110.25">
      <c r="A144" s="88" t="s">
        <v>947</v>
      </c>
      <c r="B144" s="104" t="s">
        <v>952</v>
      </c>
      <c r="C144" s="93">
        <v>395.8</v>
      </c>
      <c r="D144" s="93">
        <v>395.8</v>
      </c>
    </row>
    <row r="145" spans="1:4" ht="110.25">
      <c r="A145" s="88" t="s">
        <v>947</v>
      </c>
      <c r="B145" s="104" t="s">
        <v>953</v>
      </c>
      <c r="C145" s="93">
        <v>2.6</v>
      </c>
      <c r="D145" s="93">
        <v>2.6</v>
      </c>
    </row>
    <row r="146" spans="1:4" ht="12.75">
      <c r="A146" s="99" t="s">
        <v>954</v>
      </c>
      <c r="B146" s="100" t="s">
        <v>955</v>
      </c>
      <c r="C146" s="90">
        <f>C147</f>
        <v>950</v>
      </c>
      <c r="D146" s="90">
        <f>D147</f>
        <v>950</v>
      </c>
    </row>
    <row r="147" spans="1:4" ht="31.5">
      <c r="A147" s="88" t="s">
        <v>956</v>
      </c>
      <c r="B147" s="104" t="s">
        <v>957</v>
      </c>
      <c r="C147" s="93">
        <f>C148</f>
        <v>950</v>
      </c>
      <c r="D147" s="93">
        <f>D148</f>
        <v>950</v>
      </c>
    </row>
    <row r="148" spans="1:4" ht="63">
      <c r="A148" s="88" t="s">
        <v>958</v>
      </c>
      <c r="B148" s="104" t="s">
        <v>959</v>
      </c>
      <c r="C148" s="93">
        <v>950</v>
      </c>
      <c r="D148" s="93">
        <v>950</v>
      </c>
    </row>
    <row r="149" spans="1:4" ht="31.5">
      <c r="A149" s="86" t="s">
        <v>960</v>
      </c>
      <c r="B149" s="100" t="s">
        <v>961</v>
      </c>
      <c r="C149" s="90">
        <f aca="true" t="shared" si="6" ref="C149:D149">C150</f>
        <v>703.3</v>
      </c>
      <c r="D149" s="90">
        <f t="shared" si="6"/>
        <v>697.2</v>
      </c>
    </row>
    <row r="150" spans="1:4" ht="31.5">
      <c r="A150" s="88" t="s">
        <v>962</v>
      </c>
      <c r="B150" s="104" t="s">
        <v>963</v>
      </c>
      <c r="C150" s="93">
        <f>SUM(C151:C152)</f>
        <v>703.3</v>
      </c>
      <c r="D150" s="93">
        <f>SUM(D151:D152)</f>
        <v>697.2</v>
      </c>
    </row>
    <row r="151" spans="1:4" ht="47.25">
      <c r="A151" s="88" t="s">
        <v>964</v>
      </c>
      <c r="B151" s="104" t="s">
        <v>965</v>
      </c>
      <c r="C151" s="93">
        <f>811.1-263.5</f>
        <v>547.6</v>
      </c>
      <c r="D151" s="93">
        <v>547.6</v>
      </c>
    </row>
    <row r="152" spans="1:4" ht="47.25">
      <c r="A152" s="88" t="s">
        <v>966</v>
      </c>
      <c r="B152" s="104" t="s">
        <v>967</v>
      </c>
      <c r="C152" s="93">
        <v>155.7</v>
      </c>
      <c r="D152" s="93">
        <v>149.6</v>
      </c>
    </row>
    <row r="153" spans="1:4" ht="12.75">
      <c r="A153" s="106" t="s">
        <v>968</v>
      </c>
      <c r="B153" s="107" t="s">
        <v>969</v>
      </c>
      <c r="C153" s="252">
        <f>C154</f>
        <v>526.9</v>
      </c>
      <c r="D153" s="126">
        <f>D154</f>
        <v>502.8</v>
      </c>
    </row>
    <row r="154" spans="1:4" ht="31.5">
      <c r="A154" s="108" t="s">
        <v>970</v>
      </c>
      <c r="B154" s="109" t="s">
        <v>971</v>
      </c>
      <c r="C154" s="253">
        <f>C155</f>
        <v>526.9</v>
      </c>
      <c r="D154" s="127">
        <f>D155</f>
        <v>502.8</v>
      </c>
    </row>
    <row r="155" spans="1:4" ht="47.25">
      <c r="A155" s="108" t="s">
        <v>972</v>
      </c>
      <c r="B155" s="109" t="s">
        <v>973</v>
      </c>
      <c r="C155" s="253">
        <v>526.9</v>
      </c>
      <c r="D155" s="127">
        <v>502.8</v>
      </c>
    </row>
    <row r="156" spans="1:4" ht="132">
      <c r="A156" s="114" t="s">
        <v>976</v>
      </c>
      <c r="B156" s="115" t="s">
        <v>977</v>
      </c>
      <c r="C156" s="116">
        <f aca="true" t="shared" si="7" ref="C156:D158">C157</f>
        <v>0</v>
      </c>
      <c r="D156" s="116">
        <f t="shared" si="7"/>
        <v>165.5</v>
      </c>
    </row>
    <row r="157" spans="1:4" ht="49.5">
      <c r="A157" s="114" t="s">
        <v>978</v>
      </c>
      <c r="B157" s="117" t="s">
        <v>979</v>
      </c>
      <c r="C157" s="116">
        <f t="shared" si="7"/>
        <v>0</v>
      </c>
      <c r="D157" s="116">
        <f t="shared" si="7"/>
        <v>165.5</v>
      </c>
    </row>
    <row r="158" spans="1:4" ht="33">
      <c r="A158" s="118" t="s">
        <v>980</v>
      </c>
      <c r="B158" s="119" t="s">
        <v>981</v>
      </c>
      <c r="C158" s="120">
        <f t="shared" si="7"/>
        <v>0</v>
      </c>
      <c r="D158" s="120">
        <f t="shared" si="7"/>
        <v>165.5</v>
      </c>
    </row>
    <row r="159" spans="1:4" ht="33">
      <c r="A159" s="118" t="s">
        <v>983</v>
      </c>
      <c r="B159" s="119" t="s">
        <v>982</v>
      </c>
      <c r="C159" s="120">
        <v>0</v>
      </c>
      <c r="D159" s="120">
        <v>165.5</v>
      </c>
    </row>
    <row r="160" spans="1:4" ht="66">
      <c r="A160" s="114" t="s">
        <v>984</v>
      </c>
      <c r="B160" s="117" t="s">
        <v>985</v>
      </c>
      <c r="C160" s="116">
        <f>C161</f>
        <v>0</v>
      </c>
      <c r="D160" s="116">
        <f>D161</f>
        <v>-148.2</v>
      </c>
    </row>
    <row r="161" spans="1:4" ht="64.9" customHeight="1">
      <c r="A161" s="121" t="s">
        <v>986</v>
      </c>
      <c r="B161" s="119" t="s">
        <v>987</v>
      </c>
      <c r="C161" s="253">
        <v>0</v>
      </c>
      <c r="D161" s="127">
        <v>-148.2</v>
      </c>
    </row>
    <row r="162" spans="1:4" ht="12.75">
      <c r="A162" s="110"/>
      <c r="B162" s="111" t="s">
        <v>974</v>
      </c>
      <c r="C162" s="90">
        <f>C8+C104</f>
        <v>751379.7000000001</v>
      </c>
      <c r="D162" s="90">
        <f>D8+D104</f>
        <v>748192.4999999999</v>
      </c>
    </row>
  </sheetData>
  <mergeCells count="8">
    <mergeCell ref="B1:D1"/>
    <mergeCell ref="B2:D2"/>
    <mergeCell ref="B3:D3"/>
    <mergeCell ref="A5:D5"/>
    <mergeCell ref="C6:C7"/>
    <mergeCell ref="D6:D7"/>
    <mergeCell ref="A6:A7"/>
    <mergeCell ref="B6:B7"/>
  </mergeCells>
  <printOptions/>
  <pageMargins left="0.7874015748031497" right="0.1968503937007874" top="0.1968503937007874" bottom="0.1968503937007874" header="0.31496062992125984" footer="0.31496062992125984"/>
  <pageSetup fitToHeight="0"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G151"/>
  <sheetViews>
    <sheetView zoomScale="80" zoomScaleNormal="80" workbookViewId="0" topLeftCell="A1">
      <selection activeCell="B4" sqref="B4"/>
    </sheetView>
  </sheetViews>
  <sheetFormatPr defaultColWidth="9.125" defaultRowHeight="12.75"/>
  <cols>
    <col min="1" max="1" width="10.25390625" style="151" customWidth="1"/>
    <col min="2" max="2" width="61.125" style="136" customWidth="1"/>
    <col min="3" max="3" width="28.875" style="136" customWidth="1"/>
    <col min="4" max="4" width="14.75390625" style="152" customWidth="1"/>
    <col min="5" max="5" width="15.75390625" style="136" bestFit="1" customWidth="1"/>
    <col min="6" max="6" width="20.75390625" style="136" customWidth="1"/>
    <col min="7" max="16384" width="9.125" style="136" customWidth="1"/>
  </cols>
  <sheetData>
    <row r="1" spans="1:4" ht="12.75">
      <c r="A1" s="135"/>
      <c r="B1" s="279" t="s">
        <v>1104</v>
      </c>
      <c r="C1" s="279"/>
      <c r="D1" s="279"/>
    </row>
    <row r="2" spans="1:4" ht="12.75">
      <c r="A2" s="135"/>
      <c r="B2" s="279" t="s">
        <v>701</v>
      </c>
      <c r="C2" s="279"/>
      <c r="D2" s="279"/>
    </row>
    <row r="3" spans="1:4" ht="12.75">
      <c r="A3" s="135"/>
      <c r="B3" s="279" t="s">
        <v>1143</v>
      </c>
      <c r="C3" s="279"/>
      <c r="D3" s="279"/>
    </row>
    <row r="5" spans="1:4" ht="31.5" customHeight="1">
      <c r="A5" s="280" t="s">
        <v>1141</v>
      </c>
      <c r="B5" s="280"/>
      <c r="C5" s="280"/>
      <c r="D5" s="280"/>
    </row>
    <row r="7" spans="1:4" ht="12.75">
      <c r="A7" s="281" t="s">
        <v>988</v>
      </c>
      <c r="B7" s="281" t="s">
        <v>989</v>
      </c>
      <c r="C7" s="281" t="s">
        <v>990</v>
      </c>
      <c r="D7" s="282" t="s">
        <v>991</v>
      </c>
    </row>
    <row r="8" spans="1:4" ht="12.75">
      <c r="A8" s="281"/>
      <c r="B8" s="281"/>
      <c r="C8" s="281"/>
      <c r="D8" s="282"/>
    </row>
    <row r="9" spans="1:4" s="137" customFormat="1" ht="12.75">
      <c r="A9" s="247" t="s">
        <v>992</v>
      </c>
      <c r="B9" s="283" t="s">
        <v>112</v>
      </c>
      <c r="C9" s="283"/>
      <c r="D9" s="283"/>
    </row>
    <row r="10" spans="1:4" s="137" customFormat="1" ht="31.5">
      <c r="A10" s="138"/>
      <c r="B10" s="142" t="s">
        <v>821</v>
      </c>
      <c r="C10" s="145" t="s">
        <v>993</v>
      </c>
      <c r="D10" s="146">
        <v>36.9</v>
      </c>
    </row>
    <row r="11" spans="1:4" s="137" customFormat="1" ht="78.75">
      <c r="A11" s="138"/>
      <c r="B11" s="142" t="s">
        <v>877</v>
      </c>
      <c r="C11" s="145" t="s">
        <v>994</v>
      </c>
      <c r="D11" s="146">
        <v>4271.7</v>
      </c>
    </row>
    <row r="12" spans="1:7" ht="63">
      <c r="A12" s="139"/>
      <c r="B12" s="142" t="s">
        <v>883</v>
      </c>
      <c r="C12" s="145" t="s">
        <v>995</v>
      </c>
      <c r="D12" s="146">
        <v>25.8</v>
      </c>
      <c r="G12" s="140"/>
    </row>
    <row r="13" spans="1:4" ht="47.25">
      <c r="A13" s="139"/>
      <c r="B13" s="142" t="s">
        <v>887</v>
      </c>
      <c r="C13" s="145" t="s">
        <v>996</v>
      </c>
      <c r="D13" s="146">
        <v>1136.6</v>
      </c>
    </row>
    <row r="14" spans="1:4" ht="12.75">
      <c r="A14" s="139"/>
      <c r="B14" s="142" t="s">
        <v>893</v>
      </c>
      <c r="C14" s="145" t="s">
        <v>1081</v>
      </c>
      <c r="D14" s="146">
        <v>0.1</v>
      </c>
    </row>
    <row r="15" spans="1:4" ht="94.5">
      <c r="A15" s="139"/>
      <c r="B15" s="142" t="s">
        <v>913</v>
      </c>
      <c r="C15" s="145" t="s">
        <v>1082</v>
      </c>
      <c r="D15" s="146">
        <v>44935.8</v>
      </c>
    </row>
    <row r="16" spans="1:4" ht="47.25">
      <c r="A16" s="139"/>
      <c r="B16" s="142" t="s">
        <v>607</v>
      </c>
      <c r="C16" s="145" t="s">
        <v>1084</v>
      </c>
      <c r="D16" s="146">
        <v>1554.4</v>
      </c>
    </row>
    <row r="17" spans="1:4" ht="31.5">
      <c r="A17" s="139"/>
      <c r="B17" s="142" t="s">
        <v>606</v>
      </c>
      <c r="C17" s="145" t="s">
        <v>1084</v>
      </c>
      <c r="D17" s="146">
        <v>3403.3</v>
      </c>
    </row>
    <row r="18" spans="1:4" ht="47.25">
      <c r="A18" s="139"/>
      <c r="B18" s="142" t="s">
        <v>618</v>
      </c>
      <c r="C18" s="145" t="s">
        <v>1084</v>
      </c>
      <c r="D18" s="146">
        <v>99</v>
      </c>
    </row>
    <row r="19" spans="1:4" ht="47.25">
      <c r="A19" s="139"/>
      <c r="B19" s="142" t="s">
        <v>516</v>
      </c>
      <c r="C19" s="145" t="s">
        <v>1084</v>
      </c>
      <c r="D19" s="146">
        <v>1413.8</v>
      </c>
    </row>
    <row r="20" spans="1:4" ht="31.5">
      <c r="A20" s="139"/>
      <c r="B20" s="142" t="s">
        <v>929</v>
      </c>
      <c r="C20" s="145" t="s">
        <v>997</v>
      </c>
      <c r="D20" s="146">
        <v>485.9</v>
      </c>
    </row>
    <row r="21" spans="1:4" ht="78.75">
      <c r="A21" s="139"/>
      <c r="B21" s="142" t="s">
        <v>923</v>
      </c>
      <c r="C21" s="145" t="s">
        <v>1083</v>
      </c>
      <c r="D21" s="146">
        <v>252.3</v>
      </c>
    </row>
    <row r="22" spans="1:4" ht="47.25">
      <c r="A22" s="139"/>
      <c r="B22" s="142" t="s">
        <v>944</v>
      </c>
      <c r="C22" s="145" t="s">
        <v>1109</v>
      </c>
      <c r="D22" s="146">
        <v>1393.5</v>
      </c>
    </row>
    <row r="23" spans="1:4" ht="63">
      <c r="A23" s="139"/>
      <c r="B23" s="141" t="s">
        <v>998</v>
      </c>
      <c r="C23" s="145" t="s">
        <v>1110</v>
      </c>
      <c r="D23" s="146">
        <v>650</v>
      </c>
    </row>
    <row r="24" spans="1:4" ht="78.75">
      <c r="A24" s="139"/>
      <c r="B24" s="141" t="s">
        <v>951</v>
      </c>
      <c r="C24" s="145" t="s">
        <v>1110</v>
      </c>
      <c r="D24" s="146">
        <v>264</v>
      </c>
    </row>
    <row r="25" spans="1:4" ht="110.25">
      <c r="A25" s="139"/>
      <c r="B25" s="141" t="s">
        <v>952</v>
      </c>
      <c r="C25" s="145" t="s">
        <v>1110</v>
      </c>
      <c r="D25" s="146">
        <v>395.8</v>
      </c>
    </row>
    <row r="26" spans="1:4" ht="126">
      <c r="A26" s="139"/>
      <c r="B26" s="141" t="s">
        <v>999</v>
      </c>
      <c r="C26" s="145" t="s">
        <v>1110</v>
      </c>
      <c r="D26" s="146">
        <v>2.6</v>
      </c>
    </row>
    <row r="27" spans="1:4" ht="63">
      <c r="A27" s="139"/>
      <c r="B27" s="142" t="s">
        <v>959</v>
      </c>
      <c r="C27" s="145" t="s">
        <v>1091</v>
      </c>
      <c r="D27" s="146">
        <v>569.6</v>
      </c>
    </row>
    <row r="28" spans="1:4" ht="47.25">
      <c r="A28" s="139"/>
      <c r="B28" s="142" t="s">
        <v>965</v>
      </c>
      <c r="C28" s="145" t="s">
        <v>1000</v>
      </c>
      <c r="D28" s="146">
        <v>547.6</v>
      </c>
    </row>
    <row r="29" spans="1:4" ht="47.25">
      <c r="A29" s="139"/>
      <c r="B29" s="142" t="s">
        <v>967</v>
      </c>
      <c r="C29" s="145" t="s">
        <v>1093</v>
      </c>
      <c r="D29" s="146">
        <v>149.6</v>
      </c>
    </row>
    <row r="30" spans="1:4" ht="47.25">
      <c r="A30" s="139"/>
      <c r="B30" s="142" t="s">
        <v>973</v>
      </c>
      <c r="C30" s="145" t="s">
        <v>1001</v>
      </c>
      <c r="D30" s="146">
        <v>502.8</v>
      </c>
    </row>
    <row r="31" spans="1:4" ht="31.5">
      <c r="A31" s="139"/>
      <c r="B31" s="142" t="s">
        <v>982</v>
      </c>
      <c r="C31" s="145" t="s">
        <v>1094</v>
      </c>
      <c r="D31" s="146">
        <v>165.5</v>
      </c>
    </row>
    <row r="32" spans="1:4" ht="63">
      <c r="A32" s="139"/>
      <c r="B32" s="142" t="s">
        <v>987</v>
      </c>
      <c r="C32" s="145" t="s">
        <v>1096</v>
      </c>
      <c r="D32" s="146">
        <v>-50.6</v>
      </c>
    </row>
    <row r="33" spans="1:4" s="137" customFormat="1" ht="12.75">
      <c r="A33" s="247" t="s">
        <v>1002</v>
      </c>
      <c r="B33" s="284" t="s">
        <v>574</v>
      </c>
      <c r="C33" s="284"/>
      <c r="D33" s="284"/>
    </row>
    <row r="34" spans="1:4" s="137" customFormat="1" ht="31.5">
      <c r="A34" s="138"/>
      <c r="B34" s="142" t="s">
        <v>821</v>
      </c>
      <c r="C34" s="145" t="s">
        <v>1003</v>
      </c>
      <c r="D34" s="146"/>
    </row>
    <row r="35" spans="1:4" s="137" customFormat="1" ht="31.5">
      <c r="A35" s="138"/>
      <c r="B35" s="142" t="s">
        <v>903</v>
      </c>
      <c r="C35" s="145" t="s">
        <v>1078</v>
      </c>
      <c r="D35" s="146">
        <v>11345</v>
      </c>
    </row>
    <row r="36" spans="1:4" s="137" customFormat="1" ht="12.75">
      <c r="A36" s="247" t="s">
        <v>1004</v>
      </c>
      <c r="B36" s="284" t="s">
        <v>521</v>
      </c>
      <c r="C36" s="284"/>
      <c r="D36" s="284"/>
    </row>
    <row r="37" spans="1:4" s="137" customFormat="1" ht="94.5">
      <c r="A37" s="138"/>
      <c r="B37" s="142" t="s">
        <v>775</v>
      </c>
      <c r="C37" s="149" t="s">
        <v>1005</v>
      </c>
      <c r="D37" s="146">
        <v>17257.6</v>
      </c>
    </row>
    <row r="38" spans="1:4" s="137" customFormat="1" ht="78.75">
      <c r="A38" s="138"/>
      <c r="B38" s="142" t="s">
        <v>779</v>
      </c>
      <c r="C38" s="145" t="s">
        <v>1006</v>
      </c>
      <c r="D38" s="146">
        <v>2050.7</v>
      </c>
    </row>
    <row r="39" spans="1:4" s="137" customFormat="1" ht="31.5">
      <c r="A39" s="138"/>
      <c r="B39" s="142" t="s">
        <v>783</v>
      </c>
      <c r="C39" s="145" t="s">
        <v>1007</v>
      </c>
      <c r="D39" s="146">
        <v>15684.2</v>
      </c>
    </row>
    <row r="40" spans="1:4" s="137" customFormat="1" ht="63">
      <c r="A40" s="138"/>
      <c r="B40" s="142" t="s">
        <v>789</v>
      </c>
      <c r="C40" s="145" t="s">
        <v>1008</v>
      </c>
      <c r="D40" s="146">
        <v>1317.4</v>
      </c>
    </row>
    <row r="41" spans="1:4" s="137" customFormat="1" ht="94.5">
      <c r="A41" s="138"/>
      <c r="B41" s="142" t="s">
        <v>795</v>
      </c>
      <c r="C41" s="145" t="s">
        <v>1009</v>
      </c>
      <c r="D41" s="146">
        <v>1027.7</v>
      </c>
    </row>
    <row r="42" spans="1:4" s="137" customFormat="1" ht="31.5">
      <c r="A42" s="138"/>
      <c r="B42" s="142" t="s">
        <v>815</v>
      </c>
      <c r="C42" s="145" t="s">
        <v>1010</v>
      </c>
      <c r="D42" s="146">
        <v>1635.7</v>
      </c>
    </row>
    <row r="43" spans="1:4" s="137" customFormat="1" ht="94.5">
      <c r="A43" s="138"/>
      <c r="B43" s="142" t="s">
        <v>829</v>
      </c>
      <c r="C43" s="145" t="s">
        <v>1011</v>
      </c>
      <c r="D43" s="146">
        <v>12399.7</v>
      </c>
    </row>
    <row r="44" spans="1:4" s="137" customFormat="1" ht="94.5">
      <c r="A44" s="138"/>
      <c r="B44" s="142" t="s">
        <v>831</v>
      </c>
      <c r="C44" s="145" t="s">
        <v>1012</v>
      </c>
      <c r="D44" s="146">
        <v>0.1</v>
      </c>
    </row>
    <row r="45" spans="1:5" s="137" customFormat="1" ht="47.25">
      <c r="A45" s="138"/>
      <c r="B45" s="254" t="s">
        <v>837</v>
      </c>
      <c r="C45" s="149" t="s">
        <v>1013</v>
      </c>
      <c r="D45" s="255">
        <v>2658.3</v>
      </c>
      <c r="E45" s="143"/>
    </row>
    <row r="46" spans="1:4" s="137" customFormat="1" ht="78.75">
      <c r="A46" s="138"/>
      <c r="B46" s="142" t="s">
        <v>873</v>
      </c>
      <c r="C46" s="145" t="s">
        <v>1014</v>
      </c>
      <c r="D46" s="146"/>
    </row>
    <row r="47" spans="1:4" s="137" customFormat="1" ht="47.25">
      <c r="A47" s="138"/>
      <c r="B47" s="142" t="s">
        <v>887</v>
      </c>
      <c r="C47" s="145" t="s">
        <v>1015</v>
      </c>
      <c r="D47" s="146">
        <v>506.9</v>
      </c>
    </row>
    <row r="48" spans="1:4" s="137" customFormat="1" ht="78.75">
      <c r="A48" s="247"/>
      <c r="B48" s="142" t="s">
        <v>940</v>
      </c>
      <c r="C48" s="145" t="s">
        <v>1112</v>
      </c>
      <c r="D48" s="146">
        <v>5353</v>
      </c>
    </row>
    <row r="49" spans="1:4" s="137" customFormat="1" ht="63">
      <c r="A49" s="247"/>
      <c r="B49" s="142" t="s">
        <v>987</v>
      </c>
      <c r="C49" s="145" t="s">
        <v>1095</v>
      </c>
      <c r="D49" s="146">
        <v>-94.2</v>
      </c>
    </row>
    <row r="50" spans="1:4" s="137" customFormat="1" ht="39" customHeight="1">
      <c r="A50" s="247" t="s">
        <v>1016</v>
      </c>
      <c r="B50" s="284" t="s">
        <v>11</v>
      </c>
      <c r="C50" s="284"/>
      <c r="D50" s="284"/>
    </row>
    <row r="51" spans="1:4" s="137" customFormat="1" ht="31.5">
      <c r="A51" s="247"/>
      <c r="B51" s="142" t="s">
        <v>821</v>
      </c>
      <c r="C51" s="145" t="s">
        <v>1017</v>
      </c>
      <c r="D51" s="146">
        <v>0.8</v>
      </c>
    </row>
    <row r="52" spans="1:4" ht="47.25">
      <c r="A52" s="144"/>
      <c r="B52" s="142" t="s">
        <v>580</v>
      </c>
      <c r="C52" s="145" t="s">
        <v>1080</v>
      </c>
      <c r="D52" s="146">
        <v>2234.7</v>
      </c>
    </row>
    <row r="53" spans="1:4" ht="31.5">
      <c r="A53" s="144"/>
      <c r="B53" s="142" t="s">
        <v>600</v>
      </c>
      <c r="C53" s="145" t="s">
        <v>1080</v>
      </c>
      <c r="D53" s="146">
        <v>286.5</v>
      </c>
    </row>
    <row r="54" spans="1:4" ht="47.25">
      <c r="A54" s="144"/>
      <c r="B54" s="142" t="s">
        <v>607</v>
      </c>
      <c r="C54" s="145" t="s">
        <v>1080</v>
      </c>
      <c r="D54" s="146">
        <v>1174</v>
      </c>
    </row>
    <row r="55" spans="1:4" ht="31.5">
      <c r="A55" s="144"/>
      <c r="B55" s="142" t="s">
        <v>519</v>
      </c>
      <c r="C55" s="145" t="s">
        <v>1080</v>
      </c>
      <c r="D55" s="146">
        <v>236.1</v>
      </c>
    </row>
    <row r="56" spans="1:4" s="137" customFormat="1" ht="31.5">
      <c r="A56" s="138"/>
      <c r="B56" s="142" t="s">
        <v>909</v>
      </c>
      <c r="C56" s="145" t="s">
        <v>1079</v>
      </c>
      <c r="D56" s="146">
        <v>1784.1</v>
      </c>
    </row>
    <row r="57" spans="1:4" s="137" customFormat="1" ht="63">
      <c r="A57" s="138"/>
      <c r="B57" s="142" t="s">
        <v>959</v>
      </c>
      <c r="C57" s="145" t="s">
        <v>1092</v>
      </c>
      <c r="D57" s="146">
        <v>50</v>
      </c>
    </row>
    <row r="58" spans="1:4" s="137" customFormat="1" ht="12.75">
      <c r="A58" s="247" t="s">
        <v>1018</v>
      </c>
      <c r="B58" s="284" t="s">
        <v>504</v>
      </c>
      <c r="C58" s="284"/>
      <c r="D58" s="284"/>
    </row>
    <row r="59" spans="1:4" s="137" customFormat="1" ht="31.5">
      <c r="A59" s="138"/>
      <c r="B59" s="142" t="s">
        <v>821</v>
      </c>
      <c r="C59" s="145" t="s">
        <v>1019</v>
      </c>
      <c r="D59" s="146">
        <v>245</v>
      </c>
    </row>
    <row r="60" spans="1:4" ht="47.25">
      <c r="A60" s="144"/>
      <c r="B60" s="142" t="s">
        <v>1111</v>
      </c>
      <c r="C60" s="145" t="s">
        <v>1020</v>
      </c>
      <c r="D60" s="146">
        <v>4212.5</v>
      </c>
    </row>
    <row r="61" spans="1:4" ht="31.5">
      <c r="A61" s="144"/>
      <c r="B61" s="141" t="s">
        <v>519</v>
      </c>
      <c r="C61" s="145" t="s">
        <v>1020</v>
      </c>
      <c r="D61" s="146">
        <v>2829.8</v>
      </c>
    </row>
    <row r="62" spans="1:4" ht="78.75">
      <c r="A62" s="144"/>
      <c r="B62" s="142" t="s">
        <v>930</v>
      </c>
      <c r="C62" s="145" t="s">
        <v>1090</v>
      </c>
      <c r="D62" s="146">
        <v>205.9</v>
      </c>
    </row>
    <row r="63" spans="1:4" ht="47.25">
      <c r="A63" s="144"/>
      <c r="B63" s="142" t="s">
        <v>607</v>
      </c>
      <c r="C63" s="145" t="s">
        <v>1090</v>
      </c>
      <c r="D63" s="146">
        <v>2760.1</v>
      </c>
    </row>
    <row r="64" spans="1:4" ht="31.5">
      <c r="A64" s="144"/>
      <c r="B64" s="142" t="s">
        <v>558</v>
      </c>
      <c r="C64" s="145" t="s">
        <v>1090</v>
      </c>
      <c r="D64" s="146">
        <v>4285.9</v>
      </c>
    </row>
    <row r="65" spans="1:4" ht="31.5">
      <c r="A65" s="144"/>
      <c r="B65" s="142" t="s">
        <v>600</v>
      </c>
      <c r="C65" s="145" t="s">
        <v>1090</v>
      </c>
      <c r="D65" s="146">
        <v>292.5</v>
      </c>
    </row>
    <row r="66" spans="1:4" ht="47.25">
      <c r="A66" s="144"/>
      <c r="B66" s="142" t="s">
        <v>917</v>
      </c>
      <c r="C66" s="145" t="s">
        <v>1089</v>
      </c>
      <c r="D66" s="146">
        <v>2855.7</v>
      </c>
    </row>
    <row r="67" spans="1:4" ht="94.5">
      <c r="A67" s="144"/>
      <c r="B67" s="141" t="s">
        <v>936</v>
      </c>
      <c r="C67" s="145" t="s">
        <v>1108</v>
      </c>
      <c r="D67" s="146">
        <v>9069.3</v>
      </c>
    </row>
    <row r="68" spans="1:4" ht="110.25">
      <c r="A68" s="144"/>
      <c r="B68" s="141" t="s">
        <v>948</v>
      </c>
      <c r="C68" s="145" t="s">
        <v>1107</v>
      </c>
      <c r="D68" s="146">
        <v>176653</v>
      </c>
    </row>
    <row r="69" spans="1:4" ht="63">
      <c r="A69" s="144"/>
      <c r="B69" s="141" t="s">
        <v>949</v>
      </c>
      <c r="C69" s="145" t="s">
        <v>1107</v>
      </c>
      <c r="D69" s="146">
        <v>93411.2</v>
      </c>
    </row>
    <row r="70" spans="1:4" ht="63">
      <c r="A70" s="144"/>
      <c r="B70" s="141" t="s">
        <v>959</v>
      </c>
      <c r="C70" s="145" t="s">
        <v>1106</v>
      </c>
      <c r="D70" s="146">
        <v>330.4</v>
      </c>
    </row>
    <row r="71" spans="1:5" ht="63">
      <c r="A71" s="144"/>
      <c r="B71" s="142" t="s">
        <v>987</v>
      </c>
      <c r="C71" s="145" t="s">
        <v>1097</v>
      </c>
      <c r="D71" s="146">
        <v>-3.4</v>
      </c>
      <c r="E71" s="147"/>
    </row>
    <row r="72" spans="1:5" ht="12.75">
      <c r="A72" s="148" t="s">
        <v>1087</v>
      </c>
      <c r="B72" s="283" t="s">
        <v>1086</v>
      </c>
      <c r="C72" s="283"/>
      <c r="D72" s="283"/>
      <c r="E72" s="147"/>
    </row>
    <row r="73" spans="1:5" ht="47.25">
      <c r="A73" s="144"/>
      <c r="B73" s="142" t="s">
        <v>887</v>
      </c>
      <c r="C73" s="145" t="s">
        <v>1088</v>
      </c>
      <c r="D73" s="146">
        <v>286</v>
      </c>
      <c r="E73" s="147"/>
    </row>
    <row r="74" spans="1:5" ht="34.15" customHeight="1">
      <c r="A74" s="148" t="s">
        <v>1021</v>
      </c>
      <c r="B74" s="283" t="s">
        <v>1022</v>
      </c>
      <c r="C74" s="283"/>
      <c r="D74" s="283"/>
      <c r="E74" s="147"/>
    </row>
    <row r="75" spans="1:5" ht="47.25">
      <c r="A75" s="144"/>
      <c r="B75" s="142" t="s">
        <v>887</v>
      </c>
      <c r="C75" s="145" t="s">
        <v>1023</v>
      </c>
      <c r="D75" s="146">
        <v>22.5</v>
      </c>
      <c r="E75" s="147"/>
    </row>
    <row r="76" spans="1:4" s="137" customFormat="1" ht="25.9" customHeight="1">
      <c r="A76" s="148" t="s">
        <v>1024</v>
      </c>
      <c r="B76" s="284" t="s">
        <v>1025</v>
      </c>
      <c r="C76" s="284"/>
      <c r="D76" s="284"/>
    </row>
    <row r="77" spans="1:4" s="137" customFormat="1" ht="31.5">
      <c r="A77" s="144"/>
      <c r="B77" s="142" t="s">
        <v>801</v>
      </c>
      <c r="C77" s="145" t="s">
        <v>1026</v>
      </c>
      <c r="D77" s="146">
        <v>178.5</v>
      </c>
    </row>
    <row r="78" spans="1:4" s="137" customFormat="1" ht="31.5">
      <c r="A78" s="144"/>
      <c r="B78" s="142" t="s">
        <v>1027</v>
      </c>
      <c r="C78" s="145" t="s">
        <v>1028</v>
      </c>
      <c r="D78" s="146">
        <v>0.7</v>
      </c>
    </row>
    <row r="79" spans="1:4" s="137" customFormat="1" ht="12.75">
      <c r="A79" s="144"/>
      <c r="B79" s="142" t="s">
        <v>805</v>
      </c>
      <c r="C79" s="145" t="s">
        <v>1029</v>
      </c>
      <c r="D79" s="146">
        <v>156.5</v>
      </c>
    </row>
    <row r="80" spans="1:4" s="137" customFormat="1" ht="12.75">
      <c r="A80" s="144"/>
      <c r="B80" s="142" t="s">
        <v>807</v>
      </c>
      <c r="C80" s="145" t="s">
        <v>1030</v>
      </c>
      <c r="D80" s="146">
        <v>-119.2</v>
      </c>
    </row>
    <row r="81" spans="1:4" s="137" customFormat="1" ht="12.75">
      <c r="A81" s="247" t="s">
        <v>1031</v>
      </c>
      <c r="B81" s="286" t="s">
        <v>1032</v>
      </c>
      <c r="C81" s="286"/>
      <c r="D81" s="286"/>
    </row>
    <row r="82" spans="1:5" s="137" customFormat="1" ht="47.25">
      <c r="A82" s="138"/>
      <c r="B82" s="142" t="s">
        <v>887</v>
      </c>
      <c r="C82" s="145" t="s">
        <v>1033</v>
      </c>
      <c r="D82" s="146">
        <v>23.5</v>
      </c>
      <c r="E82" s="143"/>
    </row>
    <row r="83" spans="1:4" s="137" customFormat="1" ht="12.75">
      <c r="A83" s="148" t="s">
        <v>1034</v>
      </c>
      <c r="B83" s="284" t="s">
        <v>1035</v>
      </c>
      <c r="C83" s="284"/>
      <c r="D83" s="284"/>
    </row>
    <row r="84" spans="1:5" ht="78.75">
      <c r="A84" s="149"/>
      <c r="B84" s="142" t="s">
        <v>721</v>
      </c>
      <c r="C84" s="145" t="s">
        <v>1036</v>
      </c>
      <c r="D84" s="146">
        <v>967.9</v>
      </c>
      <c r="E84" s="147"/>
    </row>
    <row r="85" spans="1:5" ht="94.5">
      <c r="A85" s="149"/>
      <c r="B85" s="142" t="s">
        <v>723</v>
      </c>
      <c r="C85" s="145" t="s">
        <v>1037</v>
      </c>
      <c r="D85" s="146">
        <v>9.8</v>
      </c>
      <c r="E85" s="147"/>
    </row>
    <row r="86" spans="1:5" ht="78.75">
      <c r="A86" s="149"/>
      <c r="B86" s="142" t="s">
        <v>725</v>
      </c>
      <c r="C86" s="145" t="s">
        <v>1038</v>
      </c>
      <c r="D86" s="146">
        <v>1565.3</v>
      </c>
      <c r="E86" s="147"/>
    </row>
    <row r="87" spans="1:4" s="137" customFormat="1" ht="78.75">
      <c r="A87" s="148"/>
      <c r="B87" s="142" t="s">
        <v>1039</v>
      </c>
      <c r="C87" s="145" t="s">
        <v>1040</v>
      </c>
      <c r="D87" s="146">
        <v>-187.4</v>
      </c>
    </row>
    <row r="88" spans="1:4" s="137" customFormat="1" ht="12.75">
      <c r="A88" s="148" t="s">
        <v>1041</v>
      </c>
      <c r="B88" s="284" t="s">
        <v>1042</v>
      </c>
      <c r="C88" s="284"/>
      <c r="D88" s="284"/>
    </row>
    <row r="89" spans="1:4" s="137" customFormat="1" ht="63">
      <c r="A89" s="148"/>
      <c r="B89" s="142" t="s">
        <v>851</v>
      </c>
      <c r="C89" s="145" t="s">
        <v>1098</v>
      </c>
      <c r="D89" s="146">
        <v>5</v>
      </c>
    </row>
    <row r="90" spans="1:4" s="137" customFormat="1" ht="31.5">
      <c r="A90" s="148"/>
      <c r="B90" s="142" t="s">
        <v>857</v>
      </c>
      <c r="C90" s="145" t="s">
        <v>1085</v>
      </c>
      <c r="D90" s="146">
        <v>36.5</v>
      </c>
    </row>
    <row r="91" spans="1:5" ht="63">
      <c r="A91" s="150"/>
      <c r="B91" s="142" t="s">
        <v>861</v>
      </c>
      <c r="C91" s="145" t="s">
        <v>1043</v>
      </c>
      <c r="D91" s="146">
        <v>1446.3</v>
      </c>
      <c r="E91" s="147"/>
    </row>
    <row r="92" spans="1:5" ht="47.25">
      <c r="A92" s="150"/>
      <c r="B92" s="142" t="s">
        <v>887</v>
      </c>
      <c r="C92" s="145" t="s">
        <v>1099</v>
      </c>
      <c r="D92" s="146">
        <v>161.5</v>
      </c>
      <c r="E92" s="147"/>
    </row>
    <row r="93" spans="1:5" ht="12.75">
      <c r="A93" s="148" t="s">
        <v>1044</v>
      </c>
      <c r="B93" s="284" t="s">
        <v>1045</v>
      </c>
      <c r="C93" s="284"/>
      <c r="D93" s="284"/>
      <c r="E93" s="147"/>
    </row>
    <row r="94" spans="1:5" ht="78.75">
      <c r="A94" s="150"/>
      <c r="B94" s="142" t="s">
        <v>873</v>
      </c>
      <c r="C94" s="145" t="s">
        <v>1105</v>
      </c>
      <c r="D94" s="146">
        <v>143</v>
      </c>
      <c r="E94" s="147"/>
    </row>
    <row r="95" spans="1:4" ht="43.15" customHeight="1">
      <c r="A95" s="148" t="s">
        <v>1063</v>
      </c>
      <c r="B95" s="283" t="s">
        <v>1064</v>
      </c>
      <c r="C95" s="283"/>
      <c r="D95" s="283"/>
    </row>
    <row r="96" spans="1:4" ht="78.75">
      <c r="A96" s="144"/>
      <c r="B96" s="142" t="s">
        <v>1065</v>
      </c>
      <c r="C96" s="145" t="s">
        <v>1102</v>
      </c>
      <c r="D96" s="146">
        <v>-2</v>
      </c>
    </row>
    <row r="97" spans="1:4" s="137" customFormat="1" ht="12.75">
      <c r="A97" s="247" t="s">
        <v>1046</v>
      </c>
      <c r="B97" s="284" t="s">
        <v>1047</v>
      </c>
      <c r="C97" s="284"/>
      <c r="D97" s="284"/>
    </row>
    <row r="98" spans="1:4" ht="78.75">
      <c r="A98" s="149"/>
      <c r="B98" s="142" t="s">
        <v>711</v>
      </c>
      <c r="C98" s="145" t="s">
        <v>1048</v>
      </c>
      <c r="D98" s="146">
        <v>195906.6</v>
      </c>
    </row>
    <row r="99" spans="1:4" ht="126">
      <c r="A99" s="149"/>
      <c r="B99" s="142" t="s">
        <v>713</v>
      </c>
      <c r="C99" s="145" t="s">
        <v>1049</v>
      </c>
      <c r="D99" s="146">
        <v>1035</v>
      </c>
    </row>
    <row r="100" spans="1:4" ht="47.25">
      <c r="A100" s="149"/>
      <c r="B100" s="142" t="s">
        <v>715</v>
      </c>
      <c r="C100" s="145" t="s">
        <v>1050</v>
      </c>
      <c r="D100" s="146">
        <v>3919.2</v>
      </c>
    </row>
    <row r="101" spans="1:4" ht="31.5">
      <c r="A101" s="149"/>
      <c r="B101" s="142" t="s">
        <v>731</v>
      </c>
      <c r="C101" s="145" t="s">
        <v>1051</v>
      </c>
      <c r="D101" s="146">
        <v>29825.6</v>
      </c>
    </row>
    <row r="102" spans="1:4" ht="47.25">
      <c r="A102" s="144"/>
      <c r="B102" s="142" t="s">
        <v>734</v>
      </c>
      <c r="C102" s="145" t="s">
        <v>1052</v>
      </c>
      <c r="D102" s="146">
        <v>14.2</v>
      </c>
    </row>
    <row r="103" spans="1:4" ht="12.75">
      <c r="A103" s="144"/>
      <c r="B103" s="142" t="s">
        <v>736</v>
      </c>
      <c r="C103" s="145" t="s">
        <v>1053</v>
      </c>
      <c r="D103" s="146">
        <v>0.7</v>
      </c>
    </row>
    <row r="104" spans="1:4" ht="47.25">
      <c r="A104" s="144"/>
      <c r="B104" s="142" t="s">
        <v>741</v>
      </c>
      <c r="C104" s="145" t="s">
        <v>1054</v>
      </c>
      <c r="D104" s="146">
        <v>7403.8</v>
      </c>
    </row>
    <row r="105" spans="1:4" ht="47.25">
      <c r="A105" s="144"/>
      <c r="B105" s="142" t="s">
        <v>747</v>
      </c>
      <c r="C105" s="145" t="s">
        <v>1055</v>
      </c>
      <c r="D105" s="146">
        <v>13144</v>
      </c>
    </row>
    <row r="106" spans="1:4" ht="31.5">
      <c r="A106" s="144"/>
      <c r="B106" s="142" t="s">
        <v>753</v>
      </c>
      <c r="C106" s="145" t="s">
        <v>1056</v>
      </c>
      <c r="D106" s="146">
        <v>38628.8</v>
      </c>
    </row>
    <row r="107" spans="1:4" ht="47.25">
      <c r="A107" s="144"/>
      <c r="B107" s="142" t="s">
        <v>757</v>
      </c>
      <c r="C107" s="145" t="s">
        <v>1057</v>
      </c>
      <c r="D107" s="146">
        <v>11214</v>
      </c>
    </row>
    <row r="108" spans="1:4" ht="47.25">
      <c r="A108" s="144"/>
      <c r="B108" s="142" t="s">
        <v>763</v>
      </c>
      <c r="C108" s="145" t="s">
        <v>1058</v>
      </c>
      <c r="D108" s="146">
        <v>3769.1</v>
      </c>
    </row>
    <row r="109" spans="1:4" ht="78.75">
      <c r="A109" s="144"/>
      <c r="B109" s="142" t="s">
        <v>1059</v>
      </c>
      <c r="C109" s="145" t="s">
        <v>1060</v>
      </c>
      <c r="D109" s="146">
        <v>126.5</v>
      </c>
    </row>
    <row r="110" spans="1:4" ht="63">
      <c r="A110" s="144"/>
      <c r="B110" s="142" t="s">
        <v>845</v>
      </c>
      <c r="C110" s="145" t="s">
        <v>1061</v>
      </c>
      <c r="D110" s="146">
        <v>11.9</v>
      </c>
    </row>
    <row r="111" spans="1:4" ht="63">
      <c r="A111" s="144"/>
      <c r="B111" s="142" t="s">
        <v>847</v>
      </c>
      <c r="C111" s="145" t="s">
        <v>1062</v>
      </c>
      <c r="D111" s="146">
        <v>40</v>
      </c>
    </row>
    <row r="112" spans="1:4" s="137" customFormat="1" ht="12.75">
      <c r="A112" s="148" t="s">
        <v>1067</v>
      </c>
      <c r="B112" s="284" t="s">
        <v>1068</v>
      </c>
      <c r="C112" s="284"/>
      <c r="D112" s="284"/>
    </row>
    <row r="113" spans="1:4" ht="63">
      <c r="A113" s="144"/>
      <c r="B113" s="142" t="s">
        <v>851</v>
      </c>
      <c r="C113" s="145" t="s">
        <v>1069</v>
      </c>
      <c r="D113" s="146">
        <v>111</v>
      </c>
    </row>
    <row r="114" spans="1:4" ht="63">
      <c r="A114" s="144"/>
      <c r="B114" s="142" t="s">
        <v>853</v>
      </c>
      <c r="C114" s="145" t="s">
        <v>1100</v>
      </c>
      <c r="D114" s="146">
        <v>0.4</v>
      </c>
    </row>
    <row r="115" spans="1:4" ht="63">
      <c r="A115" s="144"/>
      <c r="B115" s="142" t="s">
        <v>867</v>
      </c>
      <c r="C115" s="145" t="s">
        <v>1101</v>
      </c>
      <c r="D115" s="146">
        <v>5</v>
      </c>
    </row>
    <row r="116" spans="1:4" ht="31.5">
      <c r="A116" s="144"/>
      <c r="B116" s="142" t="s">
        <v>869</v>
      </c>
      <c r="C116" s="145" t="s">
        <v>1070</v>
      </c>
      <c r="D116" s="146">
        <v>169</v>
      </c>
    </row>
    <row r="117" spans="1:4" ht="78.75">
      <c r="A117" s="144"/>
      <c r="B117" s="142" t="s">
        <v>1065</v>
      </c>
      <c r="C117" s="145" t="s">
        <v>1066</v>
      </c>
      <c r="D117" s="146">
        <v>35.9</v>
      </c>
    </row>
    <row r="118" spans="1:5" ht="47.25">
      <c r="A118" s="144"/>
      <c r="B118" s="142" t="s">
        <v>887</v>
      </c>
      <c r="C118" s="145" t="s">
        <v>1071</v>
      </c>
      <c r="D118" s="146">
        <v>1567.4</v>
      </c>
      <c r="E118" s="147"/>
    </row>
    <row r="119" spans="1:4" s="137" customFormat="1" ht="36" customHeight="1">
      <c r="A119" s="148" t="s">
        <v>1072</v>
      </c>
      <c r="B119" s="285" t="s">
        <v>1073</v>
      </c>
      <c r="C119" s="285"/>
      <c r="D119" s="285"/>
    </row>
    <row r="120" spans="1:5" ht="47.25">
      <c r="A120" s="149"/>
      <c r="B120" s="142" t="s">
        <v>887</v>
      </c>
      <c r="C120" s="145" t="s">
        <v>1074</v>
      </c>
      <c r="D120" s="146">
        <v>8.1</v>
      </c>
      <c r="E120" s="147"/>
    </row>
    <row r="121" spans="1:4" s="137" customFormat="1" ht="22.15" customHeight="1">
      <c r="A121" s="148" t="s">
        <v>1075</v>
      </c>
      <c r="B121" s="283" t="s">
        <v>1076</v>
      </c>
      <c r="C121" s="283"/>
      <c r="D121" s="283"/>
    </row>
    <row r="122" spans="1:5" ht="31.5">
      <c r="A122" s="144"/>
      <c r="B122" s="142" t="s">
        <v>859</v>
      </c>
      <c r="C122" s="145" t="s">
        <v>1077</v>
      </c>
      <c r="D122" s="146">
        <v>299.7</v>
      </c>
      <c r="E122" s="147"/>
    </row>
    <row r="123" ht="12.75">
      <c r="E123" s="147"/>
    </row>
    <row r="126" spans="1:5" ht="12.75">
      <c r="A126" s="136"/>
      <c r="B126" s="152"/>
      <c r="D126" s="136"/>
      <c r="E126" s="152"/>
    </row>
    <row r="127" spans="1:4" ht="12.75">
      <c r="A127" s="136"/>
      <c r="B127" s="152"/>
      <c r="D127" s="136"/>
    </row>
    <row r="128" spans="1:4" ht="12.75">
      <c r="A128" s="136"/>
      <c r="B128" s="152"/>
      <c r="D128" s="136"/>
    </row>
    <row r="129" spans="1:4" ht="12.75">
      <c r="A129" s="136"/>
      <c r="B129" s="152"/>
      <c r="D129" s="136"/>
    </row>
    <row r="130" spans="1:4" ht="12.75">
      <c r="A130" s="136"/>
      <c r="B130" s="152"/>
      <c r="D130" s="136"/>
    </row>
    <row r="131" spans="1:4" ht="12.75">
      <c r="A131" s="136"/>
      <c r="B131" s="152"/>
      <c r="C131" s="153"/>
      <c r="D131" s="136"/>
    </row>
    <row r="132" spans="1:4" ht="12.75">
      <c r="A132" s="136"/>
      <c r="B132" s="152"/>
      <c r="C132" s="153"/>
      <c r="D132" s="136"/>
    </row>
    <row r="133" spans="1:4" ht="12.75">
      <c r="A133" s="136"/>
      <c r="B133" s="152"/>
      <c r="C133" s="153"/>
      <c r="D133" s="136"/>
    </row>
    <row r="134" spans="1:4" ht="12.75">
      <c r="A134" s="136"/>
      <c r="B134" s="152"/>
      <c r="C134" s="153"/>
      <c r="D134" s="136"/>
    </row>
    <row r="135" spans="1:4" ht="12.75">
      <c r="A135" s="136"/>
      <c r="B135" s="152"/>
      <c r="C135" s="153"/>
      <c r="D135" s="136"/>
    </row>
    <row r="136" spans="1:4" ht="12.75">
      <c r="A136" s="136"/>
      <c r="B136" s="152"/>
      <c r="C136" s="153"/>
      <c r="D136" s="136"/>
    </row>
    <row r="137" spans="1:4" ht="12.75">
      <c r="A137" s="136"/>
      <c r="B137" s="152"/>
      <c r="C137" s="153"/>
      <c r="D137" s="136"/>
    </row>
    <row r="138" spans="1:3" ht="12.75">
      <c r="A138" s="136"/>
      <c r="B138" s="152"/>
      <c r="C138" s="153"/>
    </row>
    <row r="139" spans="1:3" ht="12.75">
      <c r="A139" s="136"/>
      <c r="B139" s="152"/>
      <c r="C139" s="153"/>
    </row>
    <row r="140" spans="1:3" ht="12.75">
      <c r="A140" s="136"/>
      <c r="B140" s="152"/>
      <c r="C140" s="153"/>
    </row>
    <row r="141" spans="1:3" ht="12.75">
      <c r="A141" s="136"/>
      <c r="B141" s="152"/>
      <c r="C141" s="153"/>
    </row>
    <row r="142" spans="1:3" ht="12.75">
      <c r="A142" s="136"/>
      <c r="B142" s="152"/>
      <c r="C142" s="153"/>
    </row>
    <row r="143" spans="1:3" ht="12.75">
      <c r="A143" s="136"/>
      <c r="B143" s="152"/>
      <c r="C143" s="153"/>
    </row>
    <row r="144" spans="1:3" ht="12.75">
      <c r="A144" s="136"/>
      <c r="B144" s="152"/>
      <c r="C144" s="153"/>
    </row>
    <row r="145" spans="1:3" ht="12.75">
      <c r="A145" s="136"/>
      <c r="B145" s="152"/>
      <c r="C145" s="153"/>
    </row>
    <row r="146" spans="1:3" ht="12.75">
      <c r="A146" s="136"/>
      <c r="B146" s="152"/>
      <c r="C146" s="153"/>
    </row>
    <row r="147" spans="1:4" ht="12.75">
      <c r="A147" s="136"/>
      <c r="B147" s="152"/>
      <c r="C147" s="153"/>
      <c r="D147" s="136"/>
    </row>
    <row r="148" spans="1:4" ht="12.75">
      <c r="A148" s="136"/>
      <c r="B148" s="152"/>
      <c r="C148" s="152"/>
      <c r="D148" s="136"/>
    </row>
    <row r="149" spans="1:4" ht="12.75">
      <c r="A149" s="136"/>
      <c r="B149" s="152"/>
      <c r="D149" s="136"/>
    </row>
    <row r="150" spans="1:4" ht="12.75">
      <c r="A150" s="136"/>
      <c r="B150" s="154"/>
      <c r="D150" s="136"/>
    </row>
    <row r="151" spans="1:4" ht="12.75">
      <c r="A151" s="136"/>
      <c r="B151" s="152"/>
      <c r="D151" s="136"/>
    </row>
  </sheetData>
  <mergeCells count="25">
    <mergeCell ref="B95:D95"/>
    <mergeCell ref="B112:D112"/>
    <mergeCell ref="B119:D119"/>
    <mergeCell ref="B121:D121"/>
    <mergeCell ref="B72:D72"/>
    <mergeCell ref="B76:D76"/>
    <mergeCell ref="B81:D81"/>
    <mergeCell ref="B83:D83"/>
    <mergeCell ref="B88:D88"/>
    <mergeCell ref="B93:D93"/>
    <mergeCell ref="B97:D97"/>
    <mergeCell ref="B74:D74"/>
    <mergeCell ref="B9:D9"/>
    <mergeCell ref="B33:D33"/>
    <mergeCell ref="B36:D36"/>
    <mergeCell ref="B50:D50"/>
    <mergeCell ref="B58:D58"/>
    <mergeCell ref="B1:D1"/>
    <mergeCell ref="B2:D2"/>
    <mergeCell ref="B3:D3"/>
    <mergeCell ref="A5:D5"/>
    <mergeCell ref="A7:A8"/>
    <mergeCell ref="B7:B8"/>
    <mergeCell ref="C7:C8"/>
    <mergeCell ref="D7:D8"/>
  </mergeCells>
  <printOptions/>
  <pageMargins left="0.7874015748031497" right="0.1968503937007874" top="0.1968503937007874" bottom="0.1968503937007874" header="0.11811023622047245" footer="0.11811023622047245"/>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1:D44"/>
  <sheetViews>
    <sheetView workbookViewId="0" topLeftCell="A1">
      <selection activeCell="A2" sqref="A2:D2"/>
    </sheetView>
  </sheetViews>
  <sheetFormatPr defaultColWidth="8.875" defaultRowHeight="12.75"/>
  <cols>
    <col min="1" max="1" width="8.25390625" style="50" customWidth="1"/>
    <col min="2" max="2" width="74.00390625" style="50" customWidth="1"/>
    <col min="3" max="3" width="13.75390625" style="50" customWidth="1"/>
    <col min="4" max="4" width="14.875" style="50" customWidth="1"/>
    <col min="5" max="16384" width="8.875" style="37" customWidth="1"/>
  </cols>
  <sheetData>
    <row r="1" spans="1:4" ht="55.9" customHeight="1">
      <c r="A1" s="289" t="s">
        <v>1145</v>
      </c>
      <c r="B1" s="289"/>
      <c r="C1" s="289"/>
      <c r="D1" s="289"/>
    </row>
    <row r="2" spans="1:4" ht="63.6" customHeight="1">
      <c r="A2" s="287" t="s">
        <v>699</v>
      </c>
      <c r="B2" s="287"/>
      <c r="C2" s="287"/>
      <c r="D2" s="288"/>
    </row>
    <row r="3" spans="1:4" ht="47.25">
      <c r="A3" s="38" t="s">
        <v>61</v>
      </c>
      <c r="B3" s="39" t="s">
        <v>24</v>
      </c>
      <c r="C3" s="36" t="s">
        <v>686</v>
      </c>
      <c r="D3" s="20" t="s">
        <v>687</v>
      </c>
    </row>
    <row r="4" spans="1:4" ht="12.75">
      <c r="A4" s="40" t="s">
        <v>6</v>
      </c>
      <c r="B4" s="40" t="s">
        <v>104</v>
      </c>
      <c r="C4" s="40" t="s">
        <v>105</v>
      </c>
      <c r="D4" s="128" t="s">
        <v>106</v>
      </c>
    </row>
    <row r="5" spans="1:4" ht="12.75">
      <c r="A5" s="41" t="s">
        <v>93</v>
      </c>
      <c r="B5" s="42" t="s">
        <v>85</v>
      </c>
      <c r="C5" s="43">
        <f>C6+C14+C17+C22+C26+C32+C34+C38+C41+C43</f>
        <v>756401.4000000001</v>
      </c>
      <c r="D5" s="43">
        <f aca="true" t="shared" si="0" ref="D5">D6+D14+D17+D22+D26+D32+D34+D38+D41+D43</f>
        <v>730465.6</v>
      </c>
    </row>
    <row r="6" spans="1:4" ht="12.75">
      <c r="A6" s="41" t="s">
        <v>81</v>
      </c>
      <c r="B6" s="44" t="s">
        <v>26</v>
      </c>
      <c r="C6" s="43">
        <f>C7+C8+C9+C10+C12+C13+C11</f>
        <v>64299.2</v>
      </c>
      <c r="D6" s="43">
        <f>D7+D8+D9+D10+D12+D13+D11</f>
        <v>60798.7</v>
      </c>
    </row>
    <row r="7" spans="1:4" ht="31.5">
      <c r="A7" s="40" t="s">
        <v>68</v>
      </c>
      <c r="B7" s="45" t="s">
        <v>86</v>
      </c>
      <c r="C7" s="46">
        <f>'№ 7'!E7</f>
        <v>1589.9</v>
      </c>
      <c r="D7" s="46">
        <f>'№ 7'!F7</f>
        <v>1589.9</v>
      </c>
    </row>
    <row r="8" spans="1:4" ht="47.25">
      <c r="A8" s="40" t="s">
        <v>69</v>
      </c>
      <c r="B8" s="45" t="s">
        <v>44</v>
      </c>
      <c r="C8" s="46">
        <f>'№ 7'!E12</f>
        <v>4059.6</v>
      </c>
      <c r="D8" s="46">
        <f>'№ 7'!F12</f>
        <v>4015.9</v>
      </c>
    </row>
    <row r="9" spans="1:4" ht="47.25">
      <c r="A9" s="40" t="s">
        <v>70</v>
      </c>
      <c r="B9" s="45" t="s">
        <v>45</v>
      </c>
      <c r="C9" s="46">
        <f>'№ 7'!E21</f>
        <v>35722.5</v>
      </c>
      <c r="D9" s="46">
        <f>'№ 7'!F21</f>
        <v>35325.6</v>
      </c>
    </row>
    <row r="10" spans="1:4" ht="31.5">
      <c r="A10" s="40" t="s">
        <v>71</v>
      </c>
      <c r="B10" s="45" t="s">
        <v>12</v>
      </c>
      <c r="C10" s="46">
        <f>'№ 7'!E33</f>
        <v>9521.5</v>
      </c>
      <c r="D10" s="46">
        <f>'№ 7'!F33</f>
        <v>9521.1</v>
      </c>
    </row>
    <row r="11" spans="1:4" ht="12.75">
      <c r="A11" s="47" t="s">
        <v>539</v>
      </c>
      <c r="B11" s="48" t="s">
        <v>540</v>
      </c>
      <c r="C11" s="46">
        <f>'№ 7'!E40</f>
        <v>280</v>
      </c>
      <c r="D11" s="46">
        <f>'№ 7'!F40</f>
        <v>280</v>
      </c>
    </row>
    <row r="12" spans="1:4" ht="12.75">
      <c r="A12" s="40" t="s">
        <v>72</v>
      </c>
      <c r="B12" s="45" t="s">
        <v>13</v>
      </c>
      <c r="C12" s="46">
        <f>'№ 7'!E45</f>
        <v>1401.2</v>
      </c>
      <c r="D12" s="46">
        <f>'№ 7'!F45</f>
        <v>0</v>
      </c>
    </row>
    <row r="13" spans="1:4" ht="12.75">
      <c r="A13" s="40" t="s">
        <v>87</v>
      </c>
      <c r="B13" s="45" t="s">
        <v>46</v>
      </c>
      <c r="C13" s="46">
        <f>'№ 7'!E50</f>
        <v>11724.5</v>
      </c>
      <c r="D13" s="46">
        <f>'№ 7'!F50</f>
        <v>10066.199999999999</v>
      </c>
    </row>
    <row r="14" spans="1:4" ht="12.75">
      <c r="A14" s="41" t="s">
        <v>82</v>
      </c>
      <c r="B14" s="44" t="s">
        <v>47</v>
      </c>
      <c r="C14" s="43">
        <f>C15+C16</f>
        <v>8176.3</v>
      </c>
      <c r="D14" s="43">
        <f aca="true" t="shared" si="1" ref="D14">D15+D16</f>
        <v>8176.3</v>
      </c>
    </row>
    <row r="15" spans="1:4" ht="12.75">
      <c r="A15" s="40" t="s">
        <v>102</v>
      </c>
      <c r="B15" s="45" t="s">
        <v>103</v>
      </c>
      <c r="C15" s="46">
        <f>'№ 7'!E101</f>
        <v>1540.2</v>
      </c>
      <c r="D15" s="46">
        <f>'№ 7'!F101</f>
        <v>1540.2</v>
      </c>
    </row>
    <row r="16" spans="1:4" ht="31.5">
      <c r="A16" s="47" t="s">
        <v>73</v>
      </c>
      <c r="B16" s="45" t="s">
        <v>20</v>
      </c>
      <c r="C16" s="46">
        <f>'№ 7'!E109</f>
        <v>6636.1</v>
      </c>
      <c r="D16" s="46">
        <f>'№ 7'!F109</f>
        <v>6636.1</v>
      </c>
    </row>
    <row r="17" spans="1:4" ht="12.75">
      <c r="A17" s="41" t="s">
        <v>83</v>
      </c>
      <c r="B17" s="44" t="s">
        <v>48</v>
      </c>
      <c r="C17" s="43">
        <f>C19+C20+C21+C18</f>
        <v>114715.40000000002</v>
      </c>
      <c r="D17" s="43">
        <f aca="true" t="shared" si="2" ref="D17">D19+D20+D21+D18</f>
        <v>98725.50000000001</v>
      </c>
    </row>
    <row r="18" spans="1:4" ht="19.15" customHeight="1">
      <c r="A18" s="47" t="s">
        <v>530</v>
      </c>
      <c r="B18" s="45" t="s">
        <v>531</v>
      </c>
      <c r="C18" s="46">
        <f>'№ 7'!E119</f>
        <v>256.6</v>
      </c>
      <c r="D18" s="46">
        <f>'№ 7'!F119</f>
        <v>256.6</v>
      </c>
    </row>
    <row r="19" spans="1:4" ht="12.75">
      <c r="A19" s="40" t="s">
        <v>175</v>
      </c>
      <c r="B19" s="45" t="s">
        <v>176</v>
      </c>
      <c r="C19" s="46">
        <f>'№ 7'!E125</f>
        <v>395.8</v>
      </c>
      <c r="D19" s="46">
        <f>'№ 7'!F125</f>
        <v>395.8</v>
      </c>
    </row>
    <row r="20" spans="1:4" ht="12.75">
      <c r="A20" s="40" t="s">
        <v>10</v>
      </c>
      <c r="B20" s="45" t="s">
        <v>318</v>
      </c>
      <c r="C20" s="46">
        <f>'№ 7'!E129</f>
        <v>112527.80000000002</v>
      </c>
      <c r="D20" s="46">
        <f>'№ 7'!F129</f>
        <v>96568.70000000001</v>
      </c>
    </row>
    <row r="21" spans="1:4" ht="12.75">
      <c r="A21" s="40" t="s">
        <v>74</v>
      </c>
      <c r="B21" s="45" t="s">
        <v>49</v>
      </c>
      <c r="C21" s="46">
        <f>'№ 7'!E159</f>
        <v>1535.1999999999998</v>
      </c>
      <c r="D21" s="46">
        <f>'№ 7'!F159</f>
        <v>1504.4</v>
      </c>
    </row>
    <row r="22" spans="1:4" ht="12.75">
      <c r="A22" s="41" t="s">
        <v>84</v>
      </c>
      <c r="B22" s="44" t="s">
        <v>50</v>
      </c>
      <c r="C22" s="43">
        <f>C23+C24+C25</f>
        <v>27333.200000000004</v>
      </c>
      <c r="D22" s="43">
        <f aca="true" t="shared" si="3" ref="D22">D23+D24+D25</f>
        <v>23579.200000000004</v>
      </c>
    </row>
    <row r="23" spans="1:4" ht="12.75">
      <c r="A23" s="40" t="s">
        <v>8</v>
      </c>
      <c r="B23" s="45" t="s">
        <v>9</v>
      </c>
      <c r="C23" s="46">
        <f>'№ 7'!E178</f>
        <v>1524.6</v>
      </c>
      <c r="D23" s="46">
        <f>'№ 7'!F178</f>
        <v>1524.6</v>
      </c>
    </row>
    <row r="24" spans="1:4" ht="12.75">
      <c r="A24" s="40" t="s">
        <v>75</v>
      </c>
      <c r="B24" s="45" t="s">
        <v>51</v>
      </c>
      <c r="C24" s="46">
        <f>'№ 7'!E183</f>
        <v>3521</v>
      </c>
      <c r="D24" s="46">
        <f>'№ 7'!F183</f>
        <v>228</v>
      </c>
    </row>
    <row r="25" spans="1:4" ht="12.75">
      <c r="A25" s="40" t="s">
        <v>76</v>
      </c>
      <c r="B25" s="45" t="s">
        <v>52</v>
      </c>
      <c r="C25" s="46">
        <f>'№ 7'!E190</f>
        <v>22287.600000000006</v>
      </c>
      <c r="D25" s="46">
        <f>'№ 7'!F190</f>
        <v>21826.600000000006</v>
      </c>
    </row>
    <row r="26" spans="1:4" ht="12.75">
      <c r="A26" s="41" t="s">
        <v>62</v>
      </c>
      <c r="B26" s="49" t="s">
        <v>53</v>
      </c>
      <c r="C26" s="43">
        <f>C27+C28+C29+C30+C31</f>
        <v>474532</v>
      </c>
      <c r="D26" s="43">
        <f aca="true" t="shared" si="4" ref="D26">D27+D28+D29+D30+D31</f>
        <v>472402.3</v>
      </c>
    </row>
    <row r="27" spans="1:4" ht="12.75">
      <c r="A27" s="40" t="s">
        <v>77</v>
      </c>
      <c r="B27" s="45" t="s">
        <v>15</v>
      </c>
      <c r="C27" s="46">
        <f>'№ 7'!E219</f>
        <v>170700.6</v>
      </c>
      <c r="D27" s="46">
        <f>'№ 7'!F219</f>
        <v>170700.59999999998</v>
      </c>
    </row>
    <row r="28" spans="1:4" ht="12.75">
      <c r="A28" s="40" t="s">
        <v>78</v>
      </c>
      <c r="B28" s="45" t="s">
        <v>16</v>
      </c>
      <c r="C28" s="46">
        <f>'№ 7'!E240</f>
        <v>236693.5</v>
      </c>
      <c r="D28" s="46">
        <f>'№ 7'!F240</f>
        <v>235825.5</v>
      </c>
    </row>
    <row r="29" spans="1:4" ht="12.75">
      <c r="A29" s="40" t="s">
        <v>319</v>
      </c>
      <c r="B29" s="45" t="s">
        <v>320</v>
      </c>
      <c r="C29" s="46">
        <f>'№ 7'!E271</f>
        <v>43737.799999999996</v>
      </c>
      <c r="D29" s="46">
        <f>'№ 7'!F271</f>
        <v>42507.899999999994</v>
      </c>
    </row>
    <row r="30" spans="1:4" ht="12.75">
      <c r="A30" s="40" t="s">
        <v>63</v>
      </c>
      <c r="B30" s="45" t="s">
        <v>486</v>
      </c>
      <c r="C30" s="46">
        <f>'№ 7'!E316</f>
        <v>9395.4</v>
      </c>
      <c r="D30" s="46">
        <f>'№ 7'!F316</f>
        <v>9393.2</v>
      </c>
    </row>
    <row r="31" spans="1:4" ht="12.75">
      <c r="A31" s="40" t="s">
        <v>79</v>
      </c>
      <c r="B31" s="45" t="s">
        <v>17</v>
      </c>
      <c r="C31" s="46">
        <f>'№ 7'!E345</f>
        <v>14004.699999999997</v>
      </c>
      <c r="D31" s="46">
        <f>'№ 7'!F345</f>
        <v>13975.099999999999</v>
      </c>
    </row>
    <row r="32" spans="1:4" ht="12.75">
      <c r="A32" s="41" t="s">
        <v>66</v>
      </c>
      <c r="B32" s="44" t="s">
        <v>111</v>
      </c>
      <c r="C32" s="43">
        <f>C33</f>
        <v>27502.999999999993</v>
      </c>
      <c r="D32" s="43">
        <f aca="true" t="shared" si="5" ref="D32">D33</f>
        <v>27368.1</v>
      </c>
    </row>
    <row r="33" spans="1:4" ht="12.75">
      <c r="A33" s="40" t="s">
        <v>67</v>
      </c>
      <c r="B33" s="45" t="s">
        <v>18</v>
      </c>
      <c r="C33" s="46">
        <f>'№ 7'!E360</f>
        <v>27502.999999999993</v>
      </c>
      <c r="D33" s="46">
        <f>'№ 7'!F360</f>
        <v>27368.1</v>
      </c>
    </row>
    <row r="34" spans="1:4" ht="12.75">
      <c r="A34" s="41" t="s">
        <v>64</v>
      </c>
      <c r="B34" s="44" t="s">
        <v>56</v>
      </c>
      <c r="C34" s="43">
        <f>C35+C36+C37</f>
        <v>19970.4</v>
      </c>
      <c r="D34" s="43">
        <f aca="true" t="shared" si="6" ref="D34">D35+D36+D37</f>
        <v>19833.5</v>
      </c>
    </row>
    <row r="35" spans="1:4" ht="12.75">
      <c r="A35" s="40" t="s">
        <v>80</v>
      </c>
      <c r="B35" s="45" t="s">
        <v>57</v>
      </c>
      <c r="C35" s="46">
        <f>'№ 7'!E403</f>
        <v>1313.3</v>
      </c>
      <c r="D35" s="46">
        <f>'№ 7'!F403</f>
        <v>1207.4</v>
      </c>
    </row>
    <row r="36" spans="1:4" ht="12.75">
      <c r="A36" s="40" t="s">
        <v>65</v>
      </c>
      <c r="B36" s="45" t="s">
        <v>59</v>
      </c>
      <c r="C36" s="46">
        <f>'№ 7'!E409</f>
        <v>4234.8</v>
      </c>
      <c r="D36" s="46">
        <f>'№ 7'!F409</f>
        <v>4203.8</v>
      </c>
    </row>
    <row r="37" spans="1:4" ht="12.75">
      <c r="A37" s="40" t="s">
        <v>125</v>
      </c>
      <c r="B37" s="45" t="s">
        <v>126</v>
      </c>
      <c r="C37" s="46">
        <f>'№ 7'!E426</f>
        <v>14422.300000000001</v>
      </c>
      <c r="D37" s="46">
        <f>'№ 7'!F426</f>
        <v>14422.3</v>
      </c>
    </row>
    <row r="38" spans="1:4" ht="12.75">
      <c r="A38" s="41" t="s">
        <v>88</v>
      </c>
      <c r="B38" s="44" t="s">
        <v>55</v>
      </c>
      <c r="C38" s="43">
        <f>C39+C40</f>
        <v>16791.899999999998</v>
      </c>
      <c r="D38" s="43">
        <f aca="true" t="shared" si="7" ref="D38">D39+D40</f>
        <v>16507.3</v>
      </c>
    </row>
    <row r="39" spans="1:4" ht="12.75">
      <c r="A39" s="40" t="s">
        <v>140</v>
      </c>
      <c r="B39" s="45" t="s">
        <v>89</v>
      </c>
      <c r="C39" s="46">
        <f>'№ 7'!E437</f>
        <v>14381.699999999997</v>
      </c>
      <c r="D39" s="46">
        <f>'№ 7'!F437</f>
        <v>14097.099999999999</v>
      </c>
    </row>
    <row r="40" spans="1:4" ht="12.75">
      <c r="A40" s="40" t="s">
        <v>144</v>
      </c>
      <c r="B40" s="45" t="s">
        <v>0</v>
      </c>
      <c r="C40" s="46">
        <f>'№ 7'!E452</f>
        <v>2410.2</v>
      </c>
      <c r="D40" s="46">
        <f>'№ 7'!F452</f>
        <v>2410.2</v>
      </c>
    </row>
    <row r="41" spans="1:4" ht="12.75">
      <c r="A41" s="41" t="s">
        <v>321</v>
      </c>
      <c r="B41" s="44" t="s">
        <v>90</v>
      </c>
      <c r="C41" s="43">
        <f>C42</f>
        <v>2554.5</v>
      </c>
      <c r="D41" s="43">
        <f aca="true" t="shared" si="8" ref="D41">D42</f>
        <v>2554.5</v>
      </c>
    </row>
    <row r="42" spans="1:4" ht="12.75">
      <c r="A42" s="40" t="s">
        <v>91</v>
      </c>
      <c r="B42" s="45" t="s">
        <v>92</v>
      </c>
      <c r="C42" s="46">
        <f>'№ 7'!E460</f>
        <v>2554.5</v>
      </c>
      <c r="D42" s="46">
        <f>'№ 7'!F460</f>
        <v>2554.5</v>
      </c>
    </row>
    <row r="43" spans="1:4" ht="12.75">
      <c r="A43" s="41" t="s">
        <v>322</v>
      </c>
      <c r="B43" s="44" t="s">
        <v>485</v>
      </c>
      <c r="C43" s="43">
        <f>C44</f>
        <v>525.5</v>
      </c>
      <c r="D43" s="43">
        <f aca="true" t="shared" si="9" ref="D43">D44</f>
        <v>520.2</v>
      </c>
    </row>
    <row r="44" spans="1:4" ht="12.75">
      <c r="A44" s="40" t="s">
        <v>323</v>
      </c>
      <c r="B44" s="45" t="s">
        <v>324</v>
      </c>
      <c r="C44" s="46">
        <f>'№ 7'!E472</f>
        <v>525.5</v>
      </c>
      <c r="D44" s="46">
        <f>'№ 7'!F472</f>
        <v>520.2</v>
      </c>
    </row>
  </sheetData>
  <mergeCells count="2">
    <mergeCell ref="A2:D2"/>
    <mergeCell ref="A1:D1"/>
  </mergeCells>
  <printOptions/>
  <pageMargins left="0.7874015748031497" right="0.1968503937007874" top="0.1968503937007874" bottom="0.1968503937007874" header="0.31496062992125984" footer="0.31496062992125984"/>
  <pageSetup fitToHeight="1"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G568"/>
  <sheetViews>
    <sheetView view="pageBreakPreview" zoomScale="76" zoomScaleSheetLayoutView="76" workbookViewId="0" topLeftCell="A91">
      <selection activeCell="E18" sqref="E18"/>
    </sheetView>
  </sheetViews>
  <sheetFormatPr defaultColWidth="8.875" defaultRowHeight="12.75"/>
  <cols>
    <col min="1" max="1" width="6.25390625" style="52" customWidth="1"/>
    <col min="2" max="2" width="7.875" style="79" customWidth="1"/>
    <col min="3" max="3" width="15.125" style="52" customWidth="1"/>
    <col min="4" max="4" width="5.75390625" style="52" customWidth="1"/>
    <col min="5" max="5" width="57.00390625" style="80" customWidth="1"/>
    <col min="6" max="6" width="13.75390625" style="52" customWidth="1"/>
    <col min="7" max="7" width="14.875" style="52" customWidth="1"/>
    <col min="8" max="16384" width="8.875" style="52" customWidth="1"/>
  </cols>
  <sheetData>
    <row r="1" spans="1:7" ht="51.75" customHeight="1">
      <c r="A1" s="17" t="s">
        <v>93</v>
      </c>
      <c r="B1" s="52"/>
      <c r="C1" s="51"/>
      <c r="D1" s="51"/>
      <c r="E1" s="291" t="s">
        <v>1146</v>
      </c>
      <c r="F1" s="291"/>
      <c r="G1" s="291"/>
    </row>
    <row r="2" spans="1:7" ht="46.9" customHeight="1">
      <c r="A2" s="290" t="s">
        <v>700</v>
      </c>
      <c r="B2" s="290"/>
      <c r="C2" s="290"/>
      <c r="D2" s="290"/>
      <c r="E2" s="290"/>
      <c r="F2" s="290"/>
      <c r="G2" s="290"/>
    </row>
    <row r="3" spans="1:7" ht="57.6" customHeight="1">
      <c r="A3" s="81" t="s">
        <v>21</v>
      </c>
      <c r="B3" s="69" t="s">
        <v>61</v>
      </c>
      <c r="C3" s="69" t="s">
        <v>22</v>
      </c>
      <c r="D3" s="69" t="s">
        <v>23</v>
      </c>
      <c r="E3" s="70" t="s">
        <v>24</v>
      </c>
      <c r="F3" s="68" t="s">
        <v>686</v>
      </c>
      <c r="G3" s="256" t="s">
        <v>687</v>
      </c>
    </row>
    <row r="4" spans="1:7" ht="12.75">
      <c r="A4" s="69" t="s">
        <v>6</v>
      </c>
      <c r="B4" s="69" t="s">
        <v>104</v>
      </c>
      <c r="C4" s="69" t="s">
        <v>105</v>
      </c>
      <c r="D4" s="69" t="s">
        <v>106</v>
      </c>
      <c r="E4" s="69" t="s">
        <v>107</v>
      </c>
      <c r="F4" s="69" t="s">
        <v>108</v>
      </c>
      <c r="G4" s="69" t="s">
        <v>325</v>
      </c>
    </row>
    <row r="5" spans="1:7" ht="12.75">
      <c r="A5" s="258" t="s">
        <v>93</v>
      </c>
      <c r="B5" s="258" t="s">
        <v>93</v>
      </c>
      <c r="C5" s="258" t="s">
        <v>93</v>
      </c>
      <c r="D5" s="258" t="s">
        <v>93</v>
      </c>
      <c r="E5" s="259" t="s">
        <v>1</v>
      </c>
      <c r="F5" s="157">
        <f>F6+F289+F321+F357+F368+F459</f>
        <v>756401.3999999999</v>
      </c>
      <c r="G5" s="157">
        <f>G6+G289+G321+G357+G368+G459</f>
        <v>730465.6</v>
      </c>
    </row>
    <row r="6" spans="1:7" ht="31.5">
      <c r="A6" s="258" t="s">
        <v>25</v>
      </c>
      <c r="B6" s="69" t="s">
        <v>93</v>
      </c>
      <c r="C6" s="81" t="s">
        <v>93</v>
      </c>
      <c r="D6" s="81" t="s">
        <v>93</v>
      </c>
      <c r="E6" s="259" t="s">
        <v>112</v>
      </c>
      <c r="F6" s="157">
        <f>F7+F71+F91+F150+F189+F208+F254+F276</f>
        <v>236842.69999999998</v>
      </c>
      <c r="G6" s="157">
        <f>G7+G71+G91+G150+G189+G208+G254+G276</f>
        <v>215968.7</v>
      </c>
    </row>
    <row r="7" spans="1:7" ht="12.75">
      <c r="A7" s="69" t="s">
        <v>25</v>
      </c>
      <c r="B7" s="69" t="s">
        <v>81</v>
      </c>
      <c r="C7" s="69" t="s">
        <v>93</v>
      </c>
      <c r="D7" s="69" t="s">
        <v>93</v>
      </c>
      <c r="E7" s="59" t="s">
        <v>26</v>
      </c>
      <c r="F7" s="73">
        <f>F8+F14+F32+F27</f>
        <v>39436.6</v>
      </c>
      <c r="G7" s="73">
        <f>G8+G14+G32+G27</f>
        <v>38547.5</v>
      </c>
    </row>
    <row r="8" spans="1:7" ht="47.25">
      <c r="A8" s="69" t="s">
        <v>25</v>
      </c>
      <c r="B8" s="69" t="s">
        <v>68</v>
      </c>
      <c r="C8" s="69" t="s">
        <v>93</v>
      </c>
      <c r="D8" s="69" t="s">
        <v>93</v>
      </c>
      <c r="E8" s="48" t="s">
        <v>86</v>
      </c>
      <c r="F8" s="73">
        <f>F9</f>
        <v>1589.9</v>
      </c>
      <c r="G8" s="73">
        <f aca="true" t="shared" si="0" ref="G8:G12">G9</f>
        <v>1589.9</v>
      </c>
    </row>
    <row r="9" spans="1:7" ht="47.25">
      <c r="A9" s="69" t="s">
        <v>25</v>
      </c>
      <c r="B9" s="69" t="s">
        <v>68</v>
      </c>
      <c r="C9" s="69" t="s">
        <v>199</v>
      </c>
      <c r="D9" s="69" t="s">
        <v>93</v>
      </c>
      <c r="E9" s="70" t="s">
        <v>326</v>
      </c>
      <c r="F9" s="73">
        <f>F10</f>
        <v>1589.9</v>
      </c>
      <c r="G9" s="73">
        <f t="shared" si="0"/>
        <v>1589.9</v>
      </c>
    </row>
    <row r="10" spans="1:7" ht="12.75">
      <c r="A10" s="69" t="s">
        <v>25</v>
      </c>
      <c r="B10" s="69" t="s">
        <v>68</v>
      </c>
      <c r="C10" s="69" t="s">
        <v>200</v>
      </c>
      <c r="D10" s="69" t="s">
        <v>93</v>
      </c>
      <c r="E10" s="70" t="s">
        <v>2</v>
      </c>
      <c r="F10" s="73">
        <f>F11</f>
        <v>1589.9</v>
      </c>
      <c r="G10" s="73">
        <f t="shared" si="0"/>
        <v>1589.9</v>
      </c>
    </row>
    <row r="11" spans="1:7" ht="31.5">
      <c r="A11" s="69" t="s">
        <v>25</v>
      </c>
      <c r="B11" s="69" t="s">
        <v>68</v>
      </c>
      <c r="C11" s="69" t="s">
        <v>327</v>
      </c>
      <c r="D11" s="81" t="s">
        <v>93</v>
      </c>
      <c r="E11" s="70" t="s">
        <v>328</v>
      </c>
      <c r="F11" s="73">
        <f>F12</f>
        <v>1589.9</v>
      </c>
      <c r="G11" s="73">
        <f t="shared" si="0"/>
        <v>1589.9</v>
      </c>
    </row>
    <row r="12" spans="1:7" ht="12.75">
      <c r="A12" s="69" t="s">
        <v>25</v>
      </c>
      <c r="B12" s="69" t="s">
        <v>68</v>
      </c>
      <c r="C12" s="69" t="s">
        <v>201</v>
      </c>
      <c r="D12" s="69" t="s">
        <v>93</v>
      </c>
      <c r="E12" s="70" t="s">
        <v>43</v>
      </c>
      <c r="F12" s="73">
        <f>F13</f>
        <v>1589.9</v>
      </c>
      <c r="G12" s="73">
        <f t="shared" si="0"/>
        <v>1589.9</v>
      </c>
    </row>
    <row r="13" spans="1:7" ht="78.75">
      <c r="A13" s="69" t="s">
        <v>25</v>
      </c>
      <c r="B13" s="69" t="s">
        <v>68</v>
      </c>
      <c r="C13" s="69" t="s">
        <v>201</v>
      </c>
      <c r="D13" s="69" t="s">
        <v>95</v>
      </c>
      <c r="E13" s="70" t="s">
        <v>3</v>
      </c>
      <c r="F13" s="73">
        <f>1479+17.8+108.2-15.1</f>
        <v>1589.9</v>
      </c>
      <c r="G13" s="73">
        <v>1589.9</v>
      </c>
    </row>
    <row r="14" spans="1:7" ht="63">
      <c r="A14" s="69" t="s">
        <v>25</v>
      </c>
      <c r="B14" s="69" t="s">
        <v>70</v>
      </c>
      <c r="C14" s="69" t="s">
        <v>93</v>
      </c>
      <c r="D14" s="69" t="s">
        <v>93</v>
      </c>
      <c r="E14" s="70" t="s">
        <v>45</v>
      </c>
      <c r="F14" s="73">
        <f>F15</f>
        <v>35722.5</v>
      </c>
      <c r="G14" s="73">
        <f aca="true" t="shared" si="1" ref="G14">G15</f>
        <v>35325.6</v>
      </c>
    </row>
    <row r="15" spans="1:7" ht="47.25">
      <c r="A15" s="69" t="s">
        <v>25</v>
      </c>
      <c r="B15" s="69" t="s">
        <v>70</v>
      </c>
      <c r="C15" s="69" t="s">
        <v>199</v>
      </c>
      <c r="D15" s="69" t="s">
        <v>93</v>
      </c>
      <c r="E15" s="70" t="s">
        <v>326</v>
      </c>
      <c r="F15" s="73">
        <f>F16</f>
        <v>35722.5</v>
      </c>
      <c r="G15" s="73">
        <f aca="true" t="shared" si="2" ref="G15:G16">G16</f>
        <v>35325.6</v>
      </c>
    </row>
    <row r="16" spans="1:7" ht="12.75">
      <c r="A16" s="69" t="s">
        <v>25</v>
      </c>
      <c r="B16" s="69" t="s">
        <v>70</v>
      </c>
      <c r="C16" s="69" t="s">
        <v>200</v>
      </c>
      <c r="D16" s="69" t="s">
        <v>93</v>
      </c>
      <c r="E16" s="70" t="s">
        <v>2</v>
      </c>
      <c r="F16" s="73">
        <f>F17</f>
        <v>35722.5</v>
      </c>
      <c r="G16" s="73">
        <f t="shared" si="2"/>
        <v>35325.6</v>
      </c>
    </row>
    <row r="17" spans="1:7" ht="31.5">
      <c r="A17" s="69" t="s">
        <v>25</v>
      </c>
      <c r="B17" s="69" t="s">
        <v>70</v>
      </c>
      <c r="C17" s="69" t="s">
        <v>327</v>
      </c>
      <c r="D17" s="81" t="s">
        <v>93</v>
      </c>
      <c r="E17" s="70" t="s">
        <v>328</v>
      </c>
      <c r="F17" s="73">
        <f>F18+F21+F25</f>
        <v>35722.5</v>
      </c>
      <c r="G17" s="73">
        <f aca="true" t="shared" si="3" ref="G17">G18+G21+G25</f>
        <v>35325.6</v>
      </c>
    </row>
    <row r="18" spans="1:7" ht="63">
      <c r="A18" s="69" t="s">
        <v>25</v>
      </c>
      <c r="B18" s="69" t="s">
        <v>70</v>
      </c>
      <c r="C18" s="69" t="s">
        <v>204</v>
      </c>
      <c r="D18" s="69" t="s">
        <v>93</v>
      </c>
      <c r="E18" s="70" t="s">
        <v>310</v>
      </c>
      <c r="F18" s="73">
        <f>F19+F20</f>
        <v>650</v>
      </c>
      <c r="G18" s="73">
        <f aca="true" t="shared" si="4" ref="G18">G19+G20</f>
        <v>650</v>
      </c>
    </row>
    <row r="19" spans="1:7" ht="78.75">
      <c r="A19" s="69" t="s">
        <v>25</v>
      </c>
      <c r="B19" s="69" t="s">
        <v>70</v>
      </c>
      <c r="C19" s="69" t="s">
        <v>204</v>
      </c>
      <c r="D19" s="69" t="s">
        <v>95</v>
      </c>
      <c r="E19" s="70" t="s">
        <v>3</v>
      </c>
      <c r="F19" s="73">
        <v>592.3</v>
      </c>
      <c r="G19" s="73">
        <v>592.3</v>
      </c>
    </row>
    <row r="20" spans="1:7" ht="31.5">
      <c r="A20" s="69" t="s">
        <v>25</v>
      </c>
      <c r="B20" s="69" t="s">
        <v>70</v>
      </c>
      <c r="C20" s="69" t="s">
        <v>204</v>
      </c>
      <c r="D20" s="69" t="s">
        <v>96</v>
      </c>
      <c r="E20" s="70" t="s">
        <v>329</v>
      </c>
      <c r="F20" s="73">
        <v>57.7</v>
      </c>
      <c r="G20" s="73">
        <v>57.7</v>
      </c>
    </row>
    <row r="21" spans="1:7" ht="78.75">
      <c r="A21" s="69" t="s">
        <v>25</v>
      </c>
      <c r="B21" s="69" t="s">
        <v>70</v>
      </c>
      <c r="C21" s="69" t="s">
        <v>202</v>
      </c>
      <c r="D21" s="69" t="s">
        <v>93</v>
      </c>
      <c r="E21" s="70" t="s">
        <v>330</v>
      </c>
      <c r="F21" s="73">
        <f>F22+F23+F24</f>
        <v>35001.4</v>
      </c>
      <c r="G21" s="73">
        <f aca="true" t="shared" si="5" ref="G21">G22+G23+G24</f>
        <v>34604.5</v>
      </c>
    </row>
    <row r="22" spans="1:7" ht="78.75">
      <c r="A22" s="69" t="s">
        <v>25</v>
      </c>
      <c r="B22" s="69" t="s">
        <v>70</v>
      </c>
      <c r="C22" s="69" t="s">
        <v>202</v>
      </c>
      <c r="D22" s="69" t="s">
        <v>95</v>
      </c>
      <c r="E22" s="70" t="s">
        <v>3</v>
      </c>
      <c r="F22" s="73">
        <f>30511.6-17.8-414.2+47.4</f>
        <v>30127</v>
      </c>
      <c r="G22" s="73">
        <v>30127</v>
      </c>
    </row>
    <row r="23" spans="1:7" ht="31.5">
      <c r="A23" s="69" t="s">
        <v>25</v>
      </c>
      <c r="B23" s="69" t="s">
        <v>70</v>
      </c>
      <c r="C23" s="69" t="s">
        <v>202</v>
      </c>
      <c r="D23" s="69" t="s">
        <v>96</v>
      </c>
      <c r="E23" s="70" t="s">
        <v>329</v>
      </c>
      <c r="F23" s="73">
        <f>4485.1+112+100+100-30</f>
        <v>4767.1</v>
      </c>
      <c r="G23" s="73">
        <v>4382.7</v>
      </c>
    </row>
    <row r="24" spans="1:7" ht="12.75">
      <c r="A24" s="69" t="s">
        <v>25</v>
      </c>
      <c r="B24" s="69" t="s">
        <v>70</v>
      </c>
      <c r="C24" s="69" t="s">
        <v>202</v>
      </c>
      <c r="D24" s="69" t="s">
        <v>97</v>
      </c>
      <c r="E24" s="70" t="s">
        <v>98</v>
      </c>
      <c r="F24" s="73">
        <v>107.3</v>
      </c>
      <c r="G24" s="73">
        <v>94.8</v>
      </c>
    </row>
    <row r="25" spans="1:7" ht="63">
      <c r="A25" s="69" t="s">
        <v>25</v>
      </c>
      <c r="B25" s="69" t="s">
        <v>70</v>
      </c>
      <c r="C25" s="69" t="s">
        <v>203</v>
      </c>
      <c r="D25" s="69" t="s">
        <v>93</v>
      </c>
      <c r="E25" s="70" t="s">
        <v>331</v>
      </c>
      <c r="F25" s="73">
        <f>F26</f>
        <v>71.1</v>
      </c>
      <c r="G25" s="73">
        <f aca="true" t="shared" si="6" ref="G25">G26</f>
        <v>71.1</v>
      </c>
    </row>
    <row r="26" spans="1:7" ht="78.75">
      <c r="A26" s="69" t="s">
        <v>25</v>
      </c>
      <c r="B26" s="69" t="s">
        <v>70</v>
      </c>
      <c r="C26" s="69" t="s">
        <v>203</v>
      </c>
      <c r="D26" s="69" t="s">
        <v>95</v>
      </c>
      <c r="E26" s="70" t="s">
        <v>3</v>
      </c>
      <c r="F26" s="73">
        <v>71.1</v>
      </c>
      <c r="G26" s="73">
        <v>71.1</v>
      </c>
    </row>
    <row r="27" spans="1:7" ht="12.75">
      <c r="A27" s="69" t="s">
        <v>25</v>
      </c>
      <c r="B27" s="61" t="s">
        <v>539</v>
      </c>
      <c r="C27" s="62"/>
      <c r="D27" s="256"/>
      <c r="E27" s="48" t="s">
        <v>540</v>
      </c>
      <c r="F27" s="73">
        <f>F28</f>
        <v>280</v>
      </c>
      <c r="G27" s="73">
        <f aca="true" t="shared" si="7" ref="G27:G30">G28</f>
        <v>280</v>
      </c>
    </row>
    <row r="28" spans="1:7" ht="12.75">
      <c r="A28" s="69" t="s">
        <v>25</v>
      </c>
      <c r="B28" s="61" t="s">
        <v>539</v>
      </c>
      <c r="C28" s="69" t="s">
        <v>308</v>
      </c>
      <c r="D28" s="69" t="s">
        <v>93</v>
      </c>
      <c r="E28" s="70" t="s">
        <v>413</v>
      </c>
      <c r="F28" s="73">
        <f>F29</f>
        <v>280</v>
      </c>
      <c r="G28" s="73">
        <f t="shared" si="7"/>
        <v>280</v>
      </c>
    </row>
    <row r="29" spans="1:7" ht="47.25">
      <c r="A29" s="69" t="s">
        <v>25</v>
      </c>
      <c r="B29" s="61" t="s">
        <v>539</v>
      </c>
      <c r="C29" s="63">
        <v>9940000000</v>
      </c>
      <c r="D29" s="256"/>
      <c r="E29" s="48" t="s">
        <v>421</v>
      </c>
      <c r="F29" s="73">
        <f>F30</f>
        <v>280</v>
      </c>
      <c r="G29" s="73">
        <f t="shared" si="7"/>
        <v>280</v>
      </c>
    </row>
    <row r="30" spans="1:7" ht="31.5">
      <c r="A30" s="69" t="s">
        <v>25</v>
      </c>
      <c r="B30" s="61" t="s">
        <v>539</v>
      </c>
      <c r="C30" s="69" t="s">
        <v>541</v>
      </c>
      <c r="D30" s="69"/>
      <c r="E30" s="70" t="s">
        <v>542</v>
      </c>
      <c r="F30" s="73">
        <f>F31</f>
        <v>280</v>
      </c>
      <c r="G30" s="73">
        <f t="shared" si="7"/>
        <v>280</v>
      </c>
    </row>
    <row r="31" spans="1:7" ht="12.75">
      <c r="A31" s="69" t="s">
        <v>25</v>
      </c>
      <c r="B31" s="61" t="s">
        <v>539</v>
      </c>
      <c r="C31" s="69" t="s">
        <v>541</v>
      </c>
      <c r="D31" s="69" t="s">
        <v>97</v>
      </c>
      <c r="E31" s="70" t="s">
        <v>98</v>
      </c>
      <c r="F31" s="73">
        <v>280</v>
      </c>
      <c r="G31" s="73">
        <v>280</v>
      </c>
    </row>
    <row r="32" spans="1:7" ht="12.75">
      <c r="A32" s="69" t="s">
        <v>25</v>
      </c>
      <c r="B32" s="69" t="s">
        <v>87</v>
      </c>
      <c r="C32" s="69" t="s">
        <v>93</v>
      </c>
      <c r="D32" s="69" t="s">
        <v>93</v>
      </c>
      <c r="E32" s="70" t="s">
        <v>46</v>
      </c>
      <c r="F32" s="73">
        <f>F33+F67</f>
        <v>1844.2</v>
      </c>
      <c r="G32" s="73">
        <f aca="true" t="shared" si="8" ref="G32">G33+G67</f>
        <v>1352</v>
      </c>
    </row>
    <row r="33" spans="1:7" ht="47.25">
      <c r="A33" s="69" t="s">
        <v>25</v>
      </c>
      <c r="B33" s="69" t="s">
        <v>87</v>
      </c>
      <c r="C33" s="69" t="s">
        <v>199</v>
      </c>
      <c r="D33" s="69" t="s">
        <v>93</v>
      </c>
      <c r="E33" s="70" t="s">
        <v>326</v>
      </c>
      <c r="F33" s="73">
        <f>F34+F40+F47+F53+F58</f>
        <v>1714.1000000000001</v>
      </c>
      <c r="G33" s="73">
        <f aca="true" t="shared" si="9" ref="G33">G34+G40+G47+G53+G58</f>
        <v>1221.9</v>
      </c>
    </row>
    <row r="34" spans="1:7" ht="63">
      <c r="A34" s="69" t="s">
        <v>25</v>
      </c>
      <c r="B34" s="69" t="s">
        <v>87</v>
      </c>
      <c r="C34" s="69" t="s">
        <v>205</v>
      </c>
      <c r="D34" s="69" t="s">
        <v>93</v>
      </c>
      <c r="E34" s="70" t="s">
        <v>332</v>
      </c>
      <c r="F34" s="73">
        <f>F35</f>
        <v>1069.7</v>
      </c>
      <c r="G34" s="73">
        <f aca="true" t="shared" si="10" ref="G34">G35</f>
        <v>646</v>
      </c>
    </row>
    <row r="35" spans="1:7" ht="47.25">
      <c r="A35" s="69" t="s">
        <v>25</v>
      </c>
      <c r="B35" s="69" t="s">
        <v>87</v>
      </c>
      <c r="C35" s="69" t="s">
        <v>333</v>
      </c>
      <c r="D35" s="81" t="s">
        <v>93</v>
      </c>
      <c r="E35" s="70" t="s">
        <v>334</v>
      </c>
      <c r="F35" s="73">
        <f>F36+F38</f>
        <v>1069.7</v>
      </c>
      <c r="G35" s="73">
        <f aca="true" t="shared" si="11" ref="G35">G36+G38</f>
        <v>646</v>
      </c>
    </row>
    <row r="36" spans="1:7" ht="31.5">
      <c r="A36" s="69" t="s">
        <v>25</v>
      </c>
      <c r="B36" s="69" t="s">
        <v>87</v>
      </c>
      <c r="C36" s="69" t="s">
        <v>206</v>
      </c>
      <c r="D36" s="69" t="s">
        <v>93</v>
      </c>
      <c r="E36" s="70" t="s">
        <v>156</v>
      </c>
      <c r="F36" s="73">
        <f>F37</f>
        <v>615.4</v>
      </c>
      <c r="G36" s="73">
        <f aca="true" t="shared" si="12" ref="G36">G37</f>
        <v>612</v>
      </c>
    </row>
    <row r="37" spans="1:7" ht="31.5">
      <c r="A37" s="69" t="s">
        <v>25</v>
      </c>
      <c r="B37" s="69" t="s">
        <v>87</v>
      </c>
      <c r="C37" s="69" t="s">
        <v>206</v>
      </c>
      <c r="D37" s="69" t="s">
        <v>96</v>
      </c>
      <c r="E37" s="70" t="s">
        <v>329</v>
      </c>
      <c r="F37" s="73">
        <f>415.4+100+30+70</f>
        <v>615.4</v>
      </c>
      <c r="G37" s="73">
        <v>612</v>
      </c>
    </row>
    <row r="38" spans="1:7" ht="47.25">
      <c r="A38" s="69" t="s">
        <v>25</v>
      </c>
      <c r="B38" s="69" t="s">
        <v>87</v>
      </c>
      <c r="C38" s="69" t="s">
        <v>335</v>
      </c>
      <c r="D38" s="69" t="s">
        <v>93</v>
      </c>
      <c r="E38" s="70" t="s">
        <v>336</v>
      </c>
      <c r="F38" s="73">
        <f>F39</f>
        <v>454.30000000000007</v>
      </c>
      <c r="G38" s="73">
        <f aca="true" t="shared" si="13" ref="G38">G39</f>
        <v>34</v>
      </c>
    </row>
    <row r="39" spans="1:7" ht="31.5">
      <c r="A39" s="69" t="s">
        <v>25</v>
      </c>
      <c r="B39" s="69" t="s">
        <v>87</v>
      </c>
      <c r="C39" s="69" t="s">
        <v>335</v>
      </c>
      <c r="D39" s="69" t="s">
        <v>96</v>
      </c>
      <c r="E39" s="70" t="s">
        <v>329</v>
      </c>
      <c r="F39" s="73">
        <f>666.7-212.4</f>
        <v>454.30000000000007</v>
      </c>
      <c r="G39" s="73">
        <v>34</v>
      </c>
    </row>
    <row r="40" spans="1:7" ht="94.5">
      <c r="A40" s="69" t="s">
        <v>25</v>
      </c>
      <c r="B40" s="69" t="s">
        <v>87</v>
      </c>
      <c r="C40" s="69" t="s">
        <v>207</v>
      </c>
      <c r="D40" s="69" t="s">
        <v>93</v>
      </c>
      <c r="E40" s="70" t="s">
        <v>157</v>
      </c>
      <c r="F40" s="73">
        <f>F41+F44</f>
        <v>76.5</v>
      </c>
      <c r="G40" s="73">
        <f aca="true" t="shared" si="14" ref="G40">G41+G44</f>
        <v>75.5</v>
      </c>
    </row>
    <row r="41" spans="1:7" ht="63">
      <c r="A41" s="69" t="s">
        <v>25</v>
      </c>
      <c r="B41" s="69" t="s">
        <v>87</v>
      </c>
      <c r="C41" s="69" t="s">
        <v>337</v>
      </c>
      <c r="D41" s="81" t="s">
        <v>93</v>
      </c>
      <c r="E41" s="70" t="s">
        <v>338</v>
      </c>
      <c r="F41" s="73">
        <f>F42</f>
        <v>51</v>
      </c>
      <c r="G41" s="73">
        <f aca="true" t="shared" si="15" ref="G41">G42</f>
        <v>50</v>
      </c>
    </row>
    <row r="42" spans="1:7" ht="47.25">
      <c r="A42" s="69" t="s">
        <v>25</v>
      </c>
      <c r="B42" s="69" t="s">
        <v>87</v>
      </c>
      <c r="C42" s="69" t="s">
        <v>208</v>
      </c>
      <c r="D42" s="69" t="s">
        <v>93</v>
      </c>
      <c r="E42" s="70" t="s">
        <v>158</v>
      </c>
      <c r="F42" s="73">
        <f>F43</f>
        <v>51</v>
      </c>
      <c r="G42" s="73">
        <f aca="true" t="shared" si="16" ref="G42">G43</f>
        <v>50</v>
      </c>
    </row>
    <row r="43" spans="1:7" ht="12.75">
      <c r="A43" s="69" t="s">
        <v>25</v>
      </c>
      <c r="B43" s="69" t="s">
        <v>87</v>
      </c>
      <c r="C43" s="69" t="s">
        <v>208</v>
      </c>
      <c r="D43" s="69" t="s">
        <v>97</v>
      </c>
      <c r="E43" s="70" t="s">
        <v>98</v>
      </c>
      <c r="F43" s="73">
        <v>51</v>
      </c>
      <c r="G43" s="73">
        <v>50</v>
      </c>
    </row>
    <row r="44" spans="1:7" ht="31.5">
      <c r="A44" s="69" t="s">
        <v>25</v>
      </c>
      <c r="B44" s="69" t="s">
        <v>87</v>
      </c>
      <c r="C44" s="69" t="s">
        <v>339</v>
      </c>
      <c r="D44" s="81" t="s">
        <v>93</v>
      </c>
      <c r="E44" s="70" t="s">
        <v>340</v>
      </c>
      <c r="F44" s="73">
        <f>F45</f>
        <v>25.5</v>
      </c>
      <c r="G44" s="73">
        <f aca="true" t="shared" si="17" ref="G44:G45">G45</f>
        <v>25.5</v>
      </c>
    </row>
    <row r="45" spans="1:7" ht="63">
      <c r="A45" s="69" t="s">
        <v>25</v>
      </c>
      <c r="B45" s="69" t="s">
        <v>87</v>
      </c>
      <c r="C45" s="69" t="s">
        <v>209</v>
      </c>
      <c r="D45" s="69" t="s">
        <v>93</v>
      </c>
      <c r="E45" s="70" t="s">
        <v>159</v>
      </c>
      <c r="F45" s="73">
        <f>F46</f>
        <v>25.5</v>
      </c>
      <c r="G45" s="73">
        <f t="shared" si="17"/>
        <v>25.5</v>
      </c>
    </row>
    <row r="46" spans="1:7" ht="31.5">
      <c r="A46" s="69" t="s">
        <v>25</v>
      </c>
      <c r="B46" s="69" t="s">
        <v>87</v>
      </c>
      <c r="C46" s="69" t="s">
        <v>209</v>
      </c>
      <c r="D46" s="69" t="s">
        <v>96</v>
      </c>
      <c r="E46" s="70" t="s">
        <v>329</v>
      </c>
      <c r="F46" s="73">
        <v>25.5</v>
      </c>
      <c r="G46" s="73">
        <v>25.5</v>
      </c>
    </row>
    <row r="47" spans="1:7" ht="31.5">
      <c r="A47" s="69" t="s">
        <v>25</v>
      </c>
      <c r="B47" s="69" t="s">
        <v>87</v>
      </c>
      <c r="C47" s="69" t="s">
        <v>210</v>
      </c>
      <c r="D47" s="69" t="s">
        <v>93</v>
      </c>
      <c r="E47" s="70" t="s">
        <v>160</v>
      </c>
      <c r="F47" s="73">
        <f>F48</f>
        <v>205.7</v>
      </c>
      <c r="G47" s="73">
        <f aca="true" t="shared" si="18" ref="G47:G49">G48</f>
        <v>146.39999999999998</v>
      </c>
    </row>
    <row r="48" spans="1:7" ht="31.5">
      <c r="A48" s="69" t="s">
        <v>25</v>
      </c>
      <c r="B48" s="69" t="s">
        <v>87</v>
      </c>
      <c r="C48" s="69" t="s">
        <v>341</v>
      </c>
      <c r="D48" s="81" t="s">
        <v>93</v>
      </c>
      <c r="E48" s="70" t="s">
        <v>342</v>
      </c>
      <c r="F48" s="73">
        <f>F49+F51</f>
        <v>205.7</v>
      </c>
      <c r="G48" s="73">
        <f aca="true" t="shared" si="19" ref="G48">G49+G51</f>
        <v>146.39999999999998</v>
      </c>
    </row>
    <row r="49" spans="1:7" ht="31.5">
      <c r="A49" s="69" t="s">
        <v>25</v>
      </c>
      <c r="B49" s="69" t="s">
        <v>87</v>
      </c>
      <c r="C49" s="69" t="s">
        <v>211</v>
      </c>
      <c r="D49" s="69" t="s">
        <v>93</v>
      </c>
      <c r="E49" s="70" t="s">
        <v>343</v>
      </c>
      <c r="F49" s="73">
        <f>F50</f>
        <v>107.1</v>
      </c>
      <c r="G49" s="73">
        <f t="shared" si="18"/>
        <v>47.8</v>
      </c>
    </row>
    <row r="50" spans="1:7" ht="12.75">
      <c r="A50" s="69" t="s">
        <v>25</v>
      </c>
      <c r="B50" s="69" t="s">
        <v>87</v>
      </c>
      <c r="C50" s="69" t="s">
        <v>211</v>
      </c>
      <c r="D50" s="69" t="s">
        <v>100</v>
      </c>
      <c r="E50" s="70" t="s">
        <v>101</v>
      </c>
      <c r="F50" s="73">
        <v>107.1</v>
      </c>
      <c r="G50" s="73">
        <v>47.8</v>
      </c>
    </row>
    <row r="51" spans="1:7" ht="47.25">
      <c r="A51" s="69" t="s">
        <v>25</v>
      </c>
      <c r="B51" s="69" t="s">
        <v>87</v>
      </c>
      <c r="C51" s="69" t="s">
        <v>625</v>
      </c>
      <c r="D51" s="69"/>
      <c r="E51" s="70" t="s">
        <v>626</v>
      </c>
      <c r="F51" s="73">
        <f>F52</f>
        <v>98.6</v>
      </c>
      <c r="G51" s="73">
        <f aca="true" t="shared" si="20" ref="G51">G52</f>
        <v>98.6</v>
      </c>
    </row>
    <row r="52" spans="1:7" ht="31.5">
      <c r="A52" s="69" t="s">
        <v>25</v>
      </c>
      <c r="B52" s="69" t="s">
        <v>87</v>
      </c>
      <c r="C52" s="69" t="s">
        <v>625</v>
      </c>
      <c r="D52" s="69" t="s">
        <v>96</v>
      </c>
      <c r="E52" s="70" t="s">
        <v>329</v>
      </c>
      <c r="F52" s="73">
        <v>98.6</v>
      </c>
      <c r="G52" s="73">
        <v>98.6</v>
      </c>
    </row>
    <row r="53" spans="1:7" ht="63">
      <c r="A53" s="69" t="s">
        <v>25</v>
      </c>
      <c r="B53" s="69" t="s">
        <v>87</v>
      </c>
      <c r="C53" s="69" t="s">
        <v>212</v>
      </c>
      <c r="D53" s="69" t="s">
        <v>93</v>
      </c>
      <c r="E53" s="70" t="s">
        <v>154</v>
      </c>
      <c r="F53" s="73">
        <f>F54</f>
        <v>62.199999999999996</v>
      </c>
      <c r="G53" s="73">
        <f aca="true" t="shared" si="21" ref="G53:G54">G54</f>
        <v>62.2</v>
      </c>
    </row>
    <row r="54" spans="1:7" ht="63">
      <c r="A54" s="69" t="s">
        <v>25</v>
      </c>
      <c r="B54" s="69" t="s">
        <v>87</v>
      </c>
      <c r="C54" s="69" t="s">
        <v>344</v>
      </c>
      <c r="D54" s="81" t="s">
        <v>93</v>
      </c>
      <c r="E54" s="70" t="s">
        <v>345</v>
      </c>
      <c r="F54" s="73">
        <f>F55</f>
        <v>62.199999999999996</v>
      </c>
      <c r="G54" s="73">
        <f t="shared" si="21"/>
        <v>62.2</v>
      </c>
    </row>
    <row r="55" spans="1:7" ht="31.5">
      <c r="A55" s="69" t="s">
        <v>25</v>
      </c>
      <c r="B55" s="69" t="s">
        <v>87</v>
      </c>
      <c r="C55" s="69" t="s">
        <v>213</v>
      </c>
      <c r="D55" s="69" t="s">
        <v>93</v>
      </c>
      <c r="E55" s="70" t="s">
        <v>155</v>
      </c>
      <c r="F55" s="73">
        <f>F56+F57</f>
        <v>62.199999999999996</v>
      </c>
      <c r="G55" s="73">
        <f aca="true" t="shared" si="22" ref="G55">G56+G57</f>
        <v>62.2</v>
      </c>
    </row>
    <row r="56" spans="1:7" ht="31.5">
      <c r="A56" s="69" t="s">
        <v>25</v>
      </c>
      <c r="B56" s="69" t="s">
        <v>87</v>
      </c>
      <c r="C56" s="69" t="s">
        <v>213</v>
      </c>
      <c r="D56" s="69" t="s">
        <v>96</v>
      </c>
      <c r="E56" s="70" t="s">
        <v>329</v>
      </c>
      <c r="F56" s="73">
        <f>50.3-3.1</f>
        <v>47.199999999999996</v>
      </c>
      <c r="G56" s="73">
        <v>47.2</v>
      </c>
    </row>
    <row r="57" spans="1:7" ht="12.75">
      <c r="A57" s="69" t="s">
        <v>25</v>
      </c>
      <c r="B57" s="69" t="s">
        <v>87</v>
      </c>
      <c r="C57" s="69" t="s">
        <v>213</v>
      </c>
      <c r="D57" s="69" t="s">
        <v>100</v>
      </c>
      <c r="E57" s="70" t="s">
        <v>101</v>
      </c>
      <c r="F57" s="73">
        <f>11.5+3.5</f>
        <v>15</v>
      </c>
      <c r="G57" s="73">
        <v>15</v>
      </c>
    </row>
    <row r="58" spans="1:7" ht="12.75">
      <c r="A58" s="69" t="s">
        <v>25</v>
      </c>
      <c r="B58" s="69" t="s">
        <v>87</v>
      </c>
      <c r="C58" s="69" t="s">
        <v>200</v>
      </c>
      <c r="D58" s="69" t="s">
        <v>93</v>
      </c>
      <c r="E58" s="70" t="s">
        <v>2</v>
      </c>
      <c r="F58" s="73">
        <f>F59</f>
        <v>300</v>
      </c>
      <c r="G58" s="73">
        <f aca="true" t="shared" si="23" ref="G58">G59</f>
        <v>291.8</v>
      </c>
    </row>
    <row r="59" spans="1:7" ht="31.5">
      <c r="A59" s="69" t="s">
        <v>25</v>
      </c>
      <c r="B59" s="69" t="s">
        <v>87</v>
      </c>
      <c r="C59" s="69" t="s">
        <v>327</v>
      </c>
      <c r="D59" s="81" t="s">
        <v>93</v>
      </c>
      <c r="E59" s="70" t="s">
        <v>328</v>
      </c>
      <c r="F59" s="73">
        <f>F60+F66+F63</f>
        <v>300</v>
      </c>
      <c r="G59" s="73">
        <f aca="true" t="shared" si="24" ref="G59">G60+G66+G63</f>
        <v>291.8</v>
      </c>
    </row>
    <row r="60" spans="1:7" ht="78.75">
      <c r="A60" s="69" t="s">
        <v>25</v>
      </c>
      <c r="B60" s="69" t="s">
        <v>87</v>
      </c>
      <c r="C60" s="69" t="s">
        <v>214</v>
      </c>
      <c r="D60" s="69" t="s">
        <v>93</v>
      </c>
      <c r="E60" s="70" t="s">
        <v>190</v>
      </c>
      <c r="F60" s="73">
        <f>F61+F62</f>
        <v>264</v>
      </c>
      <c r="G60" s="73">
        <f aca="true" t="shared" si="25" ref="G60">G61+G62</f>
        <v>255.8</v>
      </c>
    </row>
    <row r="61" spans="1:7" ht="78.75">
      <c r="A61" s="69" t="s">
        <v>25</v>
      </c>
      <c r="B61" s="69" t="s">
        <v>87</v>
      </c>
      <c r="C61" s="69" t="s">
        <v>214</v>
      </c>
      <c r="D61" s="69" t="s">
        <v>95</v>
      </c>
      <c r="E61" s="70" t="s">
        <v>3</v>
      </c>
      <c r="F61" s="73">
        <v>246.4</v>
      </c>
      <c r="G61" s="73">
        <v>246.4</v>
      </c>
    </row>
    <row r="62" spans="1:7" ht="31.5">
      <c r="A62" s="69" t="s">
        <v>25</v>
      </c>
      <c r="B62" s="69" t="s">
        <v>87</v>
      </c>
      <c r="C62" s="69" t="s">
        <v>214</v>
      </c>
      <c r="D62" s="69" t="s">
        <v>96</v>
      </c>
      <c r="E62" s="70" t="s">
        <v>329</v>
      </c>
      <c r="F62" s="73">
        <v>17.6</v>
      </c>
      <c r="G62" s="73">
        <v>9.4</v>
      </c>
    </row>
    <row r="63" spans="1:7" ht="94.5">
      <c r="A63" s="61" t="s">
        <v>25</v>
      </c>
      <c r="B63" s="61" t="s">
        <v>87</v>
      </c>
      <c r="C63" s="14" t="s">
        <v>554</v>
      </c>
      <c r="D63" s="256"/>
      <c r="E63" s="59" t="s">
        <v>555</v>
      </c>
      <c r="F63" s="73">
        <f>F64</f>
        <v>2.6</v>
      </c>
      <c r="G63" s="73">
        <f aca="true" t="shared" si="26" ref="G63">G64</f>
        <v>2.6</v>
      </c>
    </row>
    <row r="64" spans="1:7" ht="78.75">
      <c r="A64" s="61" t="s">
        <v>25</v>
      </c>
      <c r="B64" s="61" t="s">
        <v>87</v>
      </c>
      <c r="C64" s="14" t="s">
        <v>554</v>
      </c>
      <c r="D64" s="256" t="s">
        <v>95</v>
      </c>
      <c r="E64" s="48" t="s">
        <v>3</v>
      </c>
      <c r="F64" s="73">
        <v>2.6</v>
      </c>
      <c r="G64" s="73">
        <v>2.6</v>
      </c>
    </row>
    <row r="65" spans="1:7" ht="63">
      <c r="A65" s="69" t="s">
        <v>25</v>
      </c>
      <c r="B65" s="69" t="s">
        <v>87</v>
      </c>
      <c r="C65" s="69" t="s">
        <v>203</v>
      </c>
      <c r="D65" s="69" t="s">
        <v>93</v>
      </c>
      <c r="E65" s="70" t="s">
        <v>331</v>
      </c>
      <c r="F65" s="73">
        <f>F66</f>
        <v>33.4</v>
      </c>
      <c r="G65" s="73">
        <f aca="true" t="shared" si="27" ref="G65">G66</f>
        <v>33.4</v>
      </c>
    </row>
    <row r="66" spans="1:7" ht="78.75">
      <c r="A66" s="69" t="s">
        <v>25</v>
      </c>
      <c r="B66" s="69" t="s">
        <v>87</v>
      </c>
      <c r="C66" s="69" t="s">
        <v>203</v>
      </c>
      <c r="D66" s="69" t="s">
        <v>95</v>
      </c>
      <c r="E66" s="70" t="s">
        <v>3</v>
      </c>
      <c r="F66" s="73">
        <f>31.7+1.7</f>
        <v>33.4</v>
      </c>
      <c r="G66" s="73">
        <v>33.4</v>
      </c>
    </row>
    <row r="67" spans="1:7" ht="12.75">
      <c r="A67" s="61" t="s">
        <v>25</v>
      </c>
      <c r="B67" s="61" t="s">
        <v>87</v>
      </c>
      <c r="C67" s="63">
        <v>9900000000</v>
      </c>
      <c r="D67" s="64"/>
      <c r="E67" s="65" t="s">
        <v>487</v>
      </c>
      <c r="F67" s="66">
        <f>F68</f>
        <v>130.1</v>
      </c>
      <c r="G67" s="66">
        <f aca="true" t="shared" si="28" ref="G67:G69">G68</f>
        <v>130.1</v>
      </c>
    </row>
    <row r="68" spans="1:7" ht="47.25">
      <c r="A68" s="61" t="s">
        <v>25</v>
      </c>
      <c r="B68" s="61" t="s">
        <v>87</v>
      </c>
      <c r="C68" s="63">
        <v>9940000000</v>
      </c>
      <c r="D68" s="256"/>
      <c r="E68" s="48" t="s">
        <v>421</v>
      </c>
      <c r="F68" s="66">
        <f>F69</f>
        <v>130.1</v>
      </c>
      <c r="G68" s="66">
        <f t="shared" si="28"/>
        <v>130.1</v>
      </c>
    </row>
    <row r="69" spans="1:7" ht="12.75">
      <c r="A69" s="61" t="s">
        <v>25</v>
      </c>
      <c r="B69" s="61" t="s">
        <v>87</v>
      </c>
      <c r="C69" s="63" t="s">
        <v>488</v>
      </c>
      <c r="D69" s="256"/>
      <c r="E69" s="48" t="s">
        <v>489</v>
      </c>
      <c r="F69" s="66">
        <f>F70</f>
        <v>130.1</v>
      </c>
      <c r="G69" s="66">
        <f t="shared" si="28"/>
        <v>130.1</v>
      </c>
    </row>
    <row r="70" spans="1:7" ht="12.75">
      <c r="A70" s="61" t="s">
        <v>25</v>
      </c>
      <c r="B70" s="61" t="s">
        <v>87</v>
      </c>
      <c r="C70" s="63" t="s">
        <v>488</v>
      </c>
      <c r="D70" s="256" t="s">
        <v>97</v>
      </c>
      <c r="E70" s="48" t="s">
        <v>98</v>
      </c>
      <c r="F70" s="66">
        <f>2+28.1+100</f>
        <v>130.1</v>
      </c>
      <c r="G70" s="73">
        <v>130.1</v>
      </c>
    </row>
    <row r="71" spans="1:7" ht="31.5">
      <c r="A71" s="69" t="s">
        <v>25</v>
      </c>
      <c r="B71" s="69" t="s">
        <v>82</v>
      </c>
      <c r="C71" s="69" t="s">
        <v>93</v>
      </c>
      <c r="D71" s="69" t="s">
        <v>93</v>
      </c>
      <c r="E71" s="48" t="s">
        <v>47</v>
      </c>
      <c r="F71" s="73">
        <f>F72+F81</f>
        <v>8176.3</v>
      </c>
      <c r="G71" s="73">
        <f aca="true" t="shared" si="29" ref="G71">G72+G81</f>
        <v>8176.3</v>
      </c>
    </row>
    <row r="72" spans="1:7" ht="12.75">
      <c r="A72" s="69" t="s">
        <v>25</v>
      </c>
      <c r="B72" s="69" t="s">
        <v>102</v>
      </c>
      <c r="C72" s="69" t="s">
        <v>93</v>
      </c>
      <c r="D72" s="69" t="s">
        <v>93</v>
      </c>
      <c r="E72" s="70" t="s">
        <v>103</v>
      </c>
      <c r="F72" s="73">
        <f>F73</f>
        <v>1540.2</v>
      </c>
      <c r="G72" s="73">
        <f aca="true" t="shared" si="30" ref="G72:G73">G73</f>
        <v>1540.2</v>
      </c>
    </row>
    <row r="73" spans="1:7" ht="47.25">
      <c r="A73" s="69" t="s">
        <v>25</v>
      </c>
      <c r="B73" s="69" t="s">
        <v>102</v>
      </c>
      <c r="C73" s="69" t="s">
        <v>199</v>
      </c>
      <c r="D73" s="69" t="s">
        <v>93</v>
      </c>
      <c r="E73" s="70" t="s">
        <v>326</v>
      </c>
      <c r="F73" s="73">
        <f>F74</f>
        <v>1540.2</v>
      </c>
      <c r="G73" s="73">
        <f t="shared" si="30"/>
        <v>1540.2</v>
      </c>
    </row>
    <row r="74" spans="1:7" ht="12.75">
      <c r="A74" s="69" t="s">
        <v>25</v>
      </c>
      <c r="B74" s="69" t="s">
        <v>102</v>
      </c>
      <c r="C74" s="69" t="s">
        <v>200</v>
      </c>
      <c r="D74" s="69" t="s">
        <v>93</v>
      </c>
      <c r="E74" s="70" t="s">
        <v>2</v>
      </c>
      <c r="F74" s="73">
        <f>F75</f>
        <v>1540.2</v>
      </c>
      <c r="G74" s="73">
        <f aca="true" t="shared" si="31" ref="G74">G75</f>
        <v>1540.2</v>
      </c>
    </row>
    <row r="75" spans="1:7" ht="31.5">
      <c r="A75" s="69" t="s">
        <v>25</v>
      </c>
      <c r="B75" s="69" t="s">
        <v>102</v>
      </c>
      <c r="C75" s="69" t="s">
        <v>327</v>
      </c>
      <c r="D75" s="69" t="s">
        <v>93</v>
      </c>
      <c r="E75" s="70" t="s">
        <v>328</v>
      </c>
      <c r="F75" s="73">
        <f>F76+F78</f>
        <v>1540.2</v>
      </c>
      <c r="G75" s="73">
        <f aca="true" t="shared" si="32" ref="G75">G76+G78</f>
        <v>1540.2</v>
      </c>
    </row>
    <row r="76" spans="1:7" ht="63">
      <c r="A76" s="69" t="s">
        <v>25</v>
      </c>
      <c r="B76" s="69" t="s">
        <v>102</v>
      </c>
      <c r="C76" s="69" t="s">
        <v>203</v>
      </c>
      <c r="D76" s="69" t="s">
        <v>93</v>
      </c>
      <c r="E76" s="70" t="s">
        <v>331</v>
      </c>
      <c r="F76" s="73">
        <f>F77</f>
        <v>146.7</v>
      </c>
      <c r="G76" s="73">
        <f aca="true" t="shared" si="33" ref="G76">G77</f>
        <v>146.7</v>
      </c>
    </row>
    <row r="77" spans="1:7" ht="78.75">
      <c r="A77" s="69" t="s">
        <v>25</v>
      </c>
      <c r="B77" s="69" t="s">
        <v>102</v>
      </c>
      <c r="C77" s="69" t="s">
        <v>203</v>
      </c>
      <c r="D77" s="69" t="s">
        <v>95</v>
      </c>
      <c r="E77" s="70" t="s">
        <v>3</v>
      </c>
      <c r="F77" s="73">
        <f>131.7+15</f>
        <v>146.7</v>
      </c>
      <c r="G77" s="73">
        <v>146.7</v>
      </c>
    </row>
    <row r="78" spans="1:7" ht="47.25">
      <c r="A78" s="69" t="s">
        <v>25</v>
      </c>
      <c r="B78" s="69" t="s">
        <v>102</v>
      </c>
      <c r="C78" s="69" t="s">
        <v>215</v>
      </c>
      <c r="D78" s="69" t="s">
        <v>93</v>
      </c>
      <c r="E78" s="70" t="s">
        <v>346</v>
      </c>
      <c r="F78" s="73">
        <f>F79+F80</f>
        <v>1393.5</v>
      </c>
      <c r="G78" s="73">
        <f aca="true" t="shared" si="34" ref="G78">G79+G80</f>
        <v>1393.5</v>
      </c>
    </row>
    <row r="79" spans="1:7" ht="78.75">
      <c r="A79" s="69" t="s">
        <v>25</v>
      </c>
      <c r="B79" s="69" t="s">
        <v>102</v>
      </c>
      <c r="C79" s="69" t="s">
        <v>215</v>
      </c>
      <c r="D79" s="69" t="s">
        <v>95</v>
      </c>
      <c r="E79" s="70" t="s">
        <v>3</v>
      </c>
      <c r="F79" s="73">
        <v>1227.9</v>
      </c>
      <c r="G79" s="73">
        <v>1227.9</v>
      </c>
    </row>
    <row r="80" spans="1:7" ht="31.5">
      <c r="A80" s="69" t="s">
        <v>25</v>
      </c>
      <c r="B80" s="69" t="s">
        <v>102</v>
      </c>
      <c r="C80" s="69" t="s">
        <v>215</v>
      </c>
      <c r="D80" s="69" t="s">
        <v>96</v>
      </c>
      <c r="E80" s="70" t="s">
        <v>329</v>
      </c>
      <c r="F80" s="73">
        <f>23.7+141.9</f>
        <v>165.6</v>
      </c>
      <c r="G80" s="73">
        <v>165.6</v>
      </c>
    </row>
    <row r="81" spans="1:7" ht="47.25">
      <c r="A81" s="69" t="s">
        <v>25</v>
      </c>
      <c r="B81" s="69" t="s">
        <v>73</v>
      </c>
      <c r="C81" s="69"/>
      <c r="D81" s="69"/>
      <c r="E81" s="70" t="s">
        <v>20</v>
      </c>
      <c r="F81" s="73">
        <f>F82+F87</f>
        <v>6636.1</v>
      </c>
      <c r="G81" s="73">
        <f aca="true" t="shared" si="35" ref="G81">G82+G87</f>
        <v>6636.1</v>
      </c>
    </row>
    <row r="82" spans="1:7" ht="63">
      <c r="A82" s="69" t="s">
        <v>25</v>
      </c>
      <c r="B82" s="69" t="s">
        <v>73</v>
      </c>
      <c r="C82" s="69" t="s">
        <v>199</v>
      </c>
      <c r="D82" s="69"/>
      <c r="E82" s="70" t="s">
        <v>191</v>
      </c>
      <c r="F82" s="73">
        <f>F83</f>
        <v>6537.3</v>
      </c>
      <c r="G82" s="73">
        <f aca="true" t="shared" si="36" ref="G82:G85">G83</f>
        <v>6537.3</v>
      </c>
    </row>
    <row r="83" spans="1:7" ht="47.25">
      <c r="A83" s="69" t="s">
        <v>25</v>
      </c>
      <c r="B83" s="69" t="s">
        <v>73</v>
      </c>
      <c r="C83" s="69" t="s">
        <v>216</v>
      </c>
      <c r="D83" s="69"/>
      <c r="E83" s="70" t="s">
        <v>161</v>
      </c>
      <c r="F83" s="73">
        <f>F84</f>
        <v>6537.3</v>
      </c>
      <c r="G83" s="73">
        <f t="shared" si="36"/>
        <v>6537.3</v>
      </c>
    </row>
    <row r="84" spans="1:7" ht="47.25">
      <c r="A84" s="69" t="s">
        <v>25</v>
      </c>
      <c r="B84" s="69" t="s">
        <v>73</v>
      </c>
      <c r="C84" s="69" t="s">
        <v>478</v>
      </c>
      <c r="D84" s="69"/>
      <c r="E84" s="70" t="s">
        <v>479</v>
      </c>
      <c r="F84" s="73">
        <f>F85</f>
        <v>6537.3</v>
      </c>
      <c r="G84" s="73">
        <f t="shared" si="36"/>
        <v>6537.3</v>
      </c>
    </row>
    <row r="85" spans="1:7" ht="31.5">
      <c r="A85" s="69" t="s">
        <v>25</v>
      </c>
      <c r="B85" s="69" t="s">
        <v>73</v>
      </c>
      <c r="C85" s="69" t="s">
        <v>217</v>
      </c>
      <c r="D85" s="69"/>
      <c r="E85" s="70" t="s">
        <v>162</v>
      </c>
      <c r="F85" s="73">
        <f>F86</f>
        <v>6537.3</v>
      </c>
      <c r="G85" s="73">
        <f t="shared" si="36"/>
        <v>6537.3</v>
      </c>
    </row>
    <row r="86" spans="1:7" ht="31.5">
      <c r="A86" s="69" t="s">
        <v>25</v>
      </c>
      <c r="B86" s="69" t="s">
        <v>73</v>
      </c>
      <c r="C86" s="69" t="s">
        <v>217</v>
      </c>
      <c r="D86" s="69">
        <v>600</v>
      </c>
      <c r="E86" s="70" t="s">
        <v>117</v>
      </c>
      <c r="F86" s="73">
        <f>6535+2.3</f>
        <v>6537.3</v>
      </c>
      <c r="G86" s="73">
        <v>6537.3</v>
      </c>
    </row>
    <row r="87" spans="1:7" ht="12.75">
      <c r="A87" s="69" t="s">
        <v>25</v>
      </c>
      <c r="B87" s="69" t="s">
        <v>73</v>
      </c>
      <c r="C87" s="69" t="s">
        <v>308</v>
      </c>
      <c r="D87" s="69" t="s">
        <v>93</v>
      </c>
      <c r="E87" s="70" t="s">
        <v>413</v>
      </c>
      <c r="F87" s="73">
        <f>F88</f>
        <v>98.8</v>
      </c>
      <c r="G87" s="73">
        <f aca="true" t="shared" si="37" ref="G87:G89">G88</f>
        <v>98.8</v>
      </c>
    </row>
    <row r="88" spans="1:7" ht="12.75">
      <c r="A88" s="69" t="s">
        <v>25</v>
      </c>
      <c r="B88" s="69" t="s">
        <v>73</v>
      </c>
      <c r="C88" s="69" t="s">
        <v>414</v>
      </c>
      <c r="D88" s="69" t="s">
        <v>93</v>
      </c>
      <c r="E88" s="70" t="s">
        <v>13</v>
      </c>
      <c r="F88" s="73">
        <f>F89</f>
        <v>98.8</v>
      </c>
      <c r="G88" s="73">
        <f t="shared" si="37"/>
        <v>98.8</v>
      </c>
    </row>
    <row r="89" spans="1:7" ht="31.5">
      <c r="A89" s="69" t="s">
        <v>25</v>
      </c>
      <c r="B89" s="69" t="s">
        <v>73</v>
      </c>
      <c r="C89" s="69" t="s">
        <v>258</v>
      </c>
      <c r="D89" s="69" t="s">
        <v>93</v>
      </c>
      <c r="E89" s="70" t="s">
        <v>131</v>
      </c>
      <c r="F89" s="73">
        <f>F90</f>
        <v>98.8</v>
      </c>
      <c r="G89" s="73">
        <f t="shared" si="37"/>
        <v>98.8</v>
      </c>
    </row>
    <row r="90" spans="1:7" ht="31.5">
      <c r="A90" s="69" t="s">
        <v>25</v>
      </c>
      <c r="B90" s="69" t="s">
        <v>73</v>
      </c>
      <c r="C90" s="69" t="s">
        <v>258</v>
      </c>
      <c r="D90" s="69">
        <v>600</v>
      </c>
      <c r="E90" s="70" t="s">
        <v>117</v>
      </c>
      <c r="F90" s="73">
        <v>98.8</v>
      </c>
      <c r="G90" s="73">
        <v>98.8</v>
      </c>
    </row>
    <row r="91" spans="1:7" ht="12.75">
      <c r="A91" s="69" t="s">
        <v>25</v>
      </c>
      <c r="B91" s="69" t="s">
        <v>83</v>
      </c>
      <c r="C91" s="69" t="s">
        <v>93</v>
      </c>
      <c r="D91" s="69" t="s">
        <v>93</v>
      </c>
      <c r="E91" s="48" t="s">
        <v>48</v>
      </c>
      <c r="F91" s="73">
        <f>F92+F98+F133</f>
        <v>113499.5</v>
      </c>
      <c r="G91" s="73">
        <f>G92+G98+G133</f>
        <v>97540.4</v>
      </c>
    </row>
    <row r="92" spans="1:7" ht="12.75">
      <c r="A92" s="69" t="s">
        <v>25</v>
      </c>
      <c r="B92" s="69" t="s">
        <v>175</v>
      </c>
      <c r="C92" s="69" t="s">
        <v>93</v>
      </c>
      <c r="D92" s="69" t="s">
        <v>93</v>
      </c>
      <c r="E92" s="70" t="s">
        <v>176</v>
      </c>
      <c r="F92" s="73">
        <f>F93</f>
        <v>395.8</v>
      </c>
      <c r="G92" s="73">
        <f aca="true" t="shared" si="38" ref="G92:G96">G93</f>
        <v>395.8</v>
      </c>
    </row>
    <row r="93" spans="1:7" ht="47.25">
      <c r="A93" s="69" t="s">
        <v>25</v>
      </c>
      <c r="B93" s="69" t="s">
        <v>175</v>
      </c>
      <c r="C93" s="69" t="s">
        <v>218</v>
      </c>
      <c r="D93" s="69" t="s">
        <v>93</v>
      </c>
      <c r="E93" s="70" t="s">
        <v>347</v>
      </c>
      <c r="F93" s="73">
        <f>F94</f>
        <v>395.8</v>
      </c>
      <c r="G93" s="73">
        <f t="shared" si="38"/>
        <v>395.8</v>
      </c>
    </row>
    <row r="94" spans="1:7" ht="47.25">
      <c r="A94" s="69" t="s">
        <v>25</v>
      </c>
      <c r="B94" s="69" t="s">
        <v>175</v>
      </c>
      <c r="C94" s="69" t="s">
        <v>219</v>
      </c>
      <c r="D94" s="69" t="s">
        <v>93</v>
      </c>
      <c r="E94" s="70" t="s">
        <v>170</v>
      </c>
      <c r="F94" s="73">
        <f>F95</f>
        <v>395.8</v>
      </c>
      <c r="G94" s="73">
        <f t="shared" si="38"/>
        <v>395.8</v>
      </c>
    </row>
    <row r="95" spans="1:7" ht="63">
      <c r="A95" s="69" t="s">
        <v>25</v>
      </c>
      <c r="B95" s="69" t="s">
        <v>175</v>
      </c>
      <c r="C95" s="69" t="s">
        <v>348</v>
      </c>
      <c r="D95" s="81" t="s">
        <v>93</v>
      </c>
      <c r="E95" s="70" t="s">
        <v>349</v>
      </c>
      <c r="F95" s="73">
        <f>F96</f>
        <v>395.8</v>
      </c>
      <c r="G95" s="73">
        <f t="shared" si="38"/>
        <v>395.8</v>
      </c>
    </row>
    <row r="96" spans="1:7" ht="110.25">
      <c r="A96" s="69" t="s">
        <v>25</v>
      </c>
      <c r="B96" s="69" t="s">
        <v>175</v>
      </c>
      <c r="C96" s="69" t="s">
        <v>220</v>
      </c>
      <c r="D96" s="69" t="s">
        <v>93</v>
      </c>
      <c r="E96" s="70" t="s">
        <v>177</v>
      </c>
      <c r="F96" s="73">
        <f>F97</f>
        <v>395.8</v>
      </c>
      <c r="G96" s="73">
        <f t="shared" si="38"/>
        <v>395.8</v>
      </c>
    </row>
    <row r="97" spans="1:7" ht="31.5">
      <c r="A97" s="69" t="s">
        <v>25</v>
      </c>
      <c r="B97" s="69" t="s">
        <v>175</v>
      </c>
      <c r="C97" s="69" t="s">
        <v>220</v>
      </c>
      <c r="D97" s="69" t="s">
        <v>96</v>
      </c>
      <c r="E97" s="70" t="s">
        <v>329</v>
      </c>
      <c r="F97" s="73">
        <v>395.8</v>
      </c>
      <c r="G97" s="73">
        <v>395.8</v>
      </c>
    </row>
    <row r="98" spans="1:7" ht="12.75">
      <c r="A98" s="69" t="s">
        <v>25</v>
      </c>
      <c r="B98" s="69" t="s">
        <v>10</v>
      </c>
      <c r="C98" s="69" t="s">
        <v>93</v>
      </c>
      <c r="D98" s="69" t="s">
        <v>93</v>
      </c>
      <c r="E98" s="70" t="s">
        <v>318</v>
      </c>
      <c r="F98" s="73">
        <f>F99</f>
        <v>112527.8</v>
      </c>
      <c r="G98" s="73">
        <f aca="true" t="shared" si="39" ref="G98">G99</f>
        <v>96568.7</v>
      </c>
    </row>
    <row r="99" spans="1:7" ht="63">
      <c r="A99" s="69" t="s">
        <v>25</v>
      </c>
      <c r="B99" s="69" t="s">
        <v>10</v>
      </c>
      <c r="C99" s="69" t="s">
        <v>221</v>
      </c>
      <c r="D99" s="69" t="s">
        <v>93</v>
      </c>
      <c r="E99" s="70" t="s">
        <v>350</v>
      </c>
      <c r="F99" s="73">
        <f>F100+F125</f>
        <v>112527.8</v>
      </c>
      <c r="G99" s="73">
        <f>G100+G125</f>
        <v>96568.7</v>
      </c>
    </row>
    <row r="100" spans="1:7" ht="47.25">
      <c r="A100" s="69" t="s">
        <v>25</v>
      </c>
      <c r="B100" s="69" t="s">
        <v>10</v>
      </c>
      <c r="C100" s="69" t="s">
        <v>222</v>
      </c>
      <c r="D100" s="69" t="s">
        <v>93</v>
      </c>
      <c r="E100" s="70" t="s">
        <v>492</v>
      </c>
      <c r="F100" s="73">
        <f>F101+F104+F113+F122</f>
        <v>108599.8</v>
      </c>
      <c r="G100" s="73">
        <f aca="true" t="shared" si="40" ref="G100">G101+G104+G113+G122</f>
        <v>92640.7</v>
      </c>
    </row>
    <row r="101" spans="1:7" ht="47.25">
      <c r="A101" s="69" t="s">
        <v>25</v>
      </c>
      <c r="B101" s="69" t="s">
        <v>10</v>
      </c>
      <c r="C101" s="69" t="s">
        <v>351</v>
      </c>
      <c r="D101" s="81" t="s">
        <v>93</v>
      </c>
      <c r="E101" s="70" t="s">
        <v>352</v>
      </c>
      <c r="F101" s="73">
        <f>F102</f>
        <v>25181.300000000003</v>
      </c>
      <c r="G101" s="73">
        <f aca="true" t="shared" si="41" ref="G101">G102</f>
        <v>25181.3</v>
      </c>
    </row>
    <row r="102" spans="1:7" ht="63">
      <c r="A102" s="69" t="s">
        <v>25</v>
      </c>
      <c r="B102" s="69" t="s">
        <v>10</v>
      </c>
      <c r="C102" s="69" t="s">
        <v>223</v>
      </c>
      <c r="D102" s="69" t="s">
        <v>93</v>
      </c>
      <c r="E102" s="70" t="s">
        <v>353</v>
      </c>
      <c r="F102" s="73">
        <f>F103</f>
        <v>25181.300000000003</v>
      </c>
      <c r="G102" s="73">
        <f aca="true" t="shared" si="42" ref="G102">G103</f>
        <v>25181.3</v>
      </c>
    </row>
    <row r="103" spans="1:7" ht="31.5">
      <c r="A103" s="69" t="s">
        <v>25</v>
      </c>
      <c r="B103" s="69" t="s">
        <v>10</v>
      </c>
      <c r="C103" s="69" t="s">
        <v>223</v>
      </c>
      <c r="D103" s="69" t="s">
        <v>96</v>
      </c>
      <c r="E103" s="70" t="s">
        <v>329</v>
      </c>
      <c r="F103" s="73">
        <f>21954.7-150+3000+397.7-21.1</f>
        <v>25181.300000000003</v>
      </c>
      <c r="G103" s="73">
        <v>25181.3</v>
      </c>
    </row>
    <row r="104" spans="1:7" ht="63">
      <c r="A104" s="69" t="s">
        <v>25</v>
      </c>
      <c r="B104" s="69" t="s">
        <v>10</v>
      </c>
      <c r="C104" s="69" t="s">
        <v>354</v>
      </c>
      <c r="D104" s="81" t="s">
        <v>93</v>
      </c>
      <c r="E104" s="70" t="s">
        <v>355</v>
      </c>
      <c r="F104" s="73">
        <f>F107+F109+F111+F105</f>
        <v>34640.899999999994</v>
      </c>
      <c r="G104" s="73">
        <f aca="true" t="shared" si="43" ref="G104">G107+G109+G111+G105</f>
        <v>25976.9</v>
      </c>
    </row>
    <row r="105" spans="1:7" ht="47.25">
      <c r="A105" s="69" t="s">
        <v>25</v>
      </c>
      <c r="B105" s="69" t="s">
        <v>10</v>
      </c>
      <c r="C105" s="69" t="s">
        <v>571</v>
      </c>
      <c r="D105" s="69" t="s">
        <v>93</v>
      </c>
      <c r="E105" s="70" t="s">
        <v>573</v>
      </c>
      <c r="F105" s="73">
        <f>F106</f>
        <v>21150.1</v>
      </c>
      <c r="G105" s="73">
        <f aca="true" t="shared" si="44" ref="G105">G106</f>
        <v>14398.2</v>
      </c>
    </row>
    <row r="106" spans="1:7" ht="31.5">
      <c r="A106" s="69" t="s">
        <v>25</v>
      </c>
      <c r="B106" s="69" t="s">
        <v>10</v>
      </c>
      <c r="C106" s="69" t="s">
        <v>571</v>
      </c>
      <c r="D106" s="69" t="s">
        <v>96</v>
      </c>
      <c r="E106" s="70" t="s">
        <v>329</v>
      </c>
      <c r="F106" s="73">
        <v>21150.1</v>
      </c>
      <c r="G106" s="73">
        <v>14398.2</v>
      </c>
    </row>
    <row r="107" spans="1:7" ht="47.25">
      <c r="A107" s="69" t="s">
        <v>25</v>
      </c>
      <c r="B107" s="69" t="s">
        <v>10</v>
      </c>
      <c r="C107" s="69" t="s">
        <v>224</v>
      </c>
      <c r="D107" s="69" t="s">
        <v>93</v>
      </c>
      <c r="E107" s="70" t="s">
        <v>196</v>
      </c>
      <c r="F107" s="73">
        <f>F108</f>
        <v>6380</v>
      </c>
      <c r="G107" s="73">
        <f aca="true" t="shared" si="45" ref="G107">G108</f>
        <v>6380</v>
      </c>
    </row>
    <row r="108" spans="1:7" ht="31.5">
      <c r="A108" s="69" t="s">
        <v>25</v>
      </c>
      <c r="B108" s="69" t="s">
        <v>10</v>
      </c>
      <c r="C108" s="69" t="s">
        <v>224</v>
      </c>
      <c r="D108" s="69" t="s">
        <v>96</v>
      </c>
      <c r="E108" s="70" t="s">
        <v>329</v>
      </c>
      <c r="F108" s="73">
        <f>2400+4000+85.6-105.6</f>
        <v>6380</v>
      </c>
      <c r="G108" s="73">
        <v>6380</v>
      </c>
    </row>
    <row r="109" spans="1:7" ht="31.5">
      <c r="A109" s="69" t="s">
        <v>25</v>
      </c>
      <c r="B109" s="69" t="s">
        <v>10</v>
      </c>
      <c r="C109" s="69" t="s">
        <v>225</v>
      </c>
      <c r="D109" s="69" t="s">
        <v>93</v>
      </c>
      <c r="E109" s="70" t="s">
        <v>356</v>
      </c>
      <c r="F109" s="73">
        <f>F110</f>
        <v>1018.5</v>
      </c>
      <c r="G109" s="73">
        <f aca="true" t="shared" si="46" ref="G109">G110</f>
        <v>1018.5</v>
      </c>
    </row>
    <row r="110" spans="1:7" ht="31.5">
      <c r="A110" s="69" t="s">
        <v>25</v>
      </c>
      <c r="B110" s="69" t="s">
        <v>10</v>
      </c>
      <c r="C110" s="69" t="s">
        <v>225</v>
      </c>
      <c r="D110" s="69" t="s">
        <v>96</v>
      </c>
      <c r="E110" s="70" t="s">
        <v>329</v>
      </c>
      <c r="F110" s="73">
        <f>4371+13320.2-16430.2+58.5-300.7-0.3</f>
        <v>1018.5</v>
      </c>
      <c r="G110" s="73">
        <v>1018.5</v>
      </c>
    </row>
    <row r="111" spans="1:7" ht="63">
      <c r="A111" s="69" t="s">
        <v>25</v>
      </c>
      <c r="B111" s="69" t="s">
        <v>10</v>
      </c>
      <c r="C111" s="69" t="s">
        <v>499</v>
      </c>
      <c r="D111" s="69" t="s">
        <v>93</v>
      </c>
      <c r="E111" s="70" t="s">
        <v>498</v>
      </c>
      <c r="F111" s="73">
        <f>F112</f>
        <v>6092.3</v>
      </c>
      <c r="G111" s="73">
        <f aca="true" t="shared" si="47" ref="G111">G112</f>
        <v>4180.2</v>
      </c>
    </row>
    <row r="112" spans="1:7" ht="31.5">
      <c r="A112" s="69" t="s">
        <v>25</v>
      </c>
      <c r="B112" s="69" t="s">
        <v>10</v>
      </c>
      <c r="C112" s="69" t="s">
        <v>499</v>
      </c>
      <c r="D112" s="69" t="s">
        <v>96</v>
      </c>
      <c r="E112" s="70" t="s">
        <v>329</v>
      </c>
      <c r="F112" s="73">
        <f>16430.2+5700+2021.3-8272.4-91.9-100-4267-557.2-403.5-100-100-4167.2</f>
        <v>6092.3</v>
      </c>
      <c r="G112" s="73">
        <v>4180.2</v>
      </c>
    </row>
    <row r="113" spans="1:7" ht="63">
      <c r="A113" s="69" t="s">
        <v>25</v>
      </c>
      <c r="B113" s="69" t="s">
        <v>10</v>
      </c>
      <c r="C113" s="260" t="s">
        <v>501</v>
      </c>
      <c r="D113" s="81" t="s">
        <v>93</v>
      </c>
      <c r="E113" s="70" t="s">
        <v>357</v>
      </c>
      <c r="F113" s="73">
        <f>F120+F116+F118+F114</f>
        <v>48700.3</v>
      </c>
      <c r="G113" s="73">
        <f aca="true" t="shared" si="48" ref="G113">G120+G116+G118+G114</f>
        <v>41482.5</v>
      </c>
    </row>
    <row r="114" spans="1:7" ht="63">
      <c r="A114" s="69" t="s">
        <v>25</v>
      </c>
      <c r="B114" s="69" t="s">
        <v>10</v>
      </c>
      <c r="C114" s="69" t="s">
        <v>570</v>
      </c>
      <c r="D114" s="81"/>
      <c r="E114" s="70" t="s">
        <v>575</v>
      </c>
      <c r="F114" s="73">
        <f>F115</f>
        <v>36095.4</v>
      </c>
      <c r="G114" s="73">
        <f aca="true" t="shared" si="49" ref="G114">G115</f>
        <v>30537.6</v>
      </c>
    </row>
    <row r="115" spans="1:7" ht="31.5">
      <c r="A115" s="69" t="s">
        <v>25</v>
      </c>
      <c r="B115" s="69" t="s">
        <v>10</v>
      </c>
      <c r="C115" s="69" t="s">
        <v>570</v>
      </c>
      <c r="D115" s="69" t="s">
        <v>96</v>
      </c>
      <c r="E115" s="70" t="s">
        <v>329</v>
      </c>
      <c r="F115" s="73">
        <f>30537.6+5557.8</f>
        <v>36095.4</v>
      </c>
      <c r="G115" s="73">
        <v>30537.6</v>
      </c>
    </row>
    <row r="116" spans="1:7" ht="31.5">
      <c r="A116" s="69" t="s">
        <v>25</v>
      </c>
      <c r="B116" s="69" t="s">
        <v>10</v>
      </c>
      <c r="C116" s="69" t="s">
        <v>518</v>
      </c>
      <c r="D116" s="81"/>
      <c r="E116" s="70" t="s">
        <v>513</v>
      </c>
      <c r="F116" s="73">
        <f>F117</f>
        <v>800</v>
      </c>
      <c r="G116" s="73">
        <f aca="true" t="shared" si="50" ref="G116">G117</f>
        <v>789.4</v>
      </c>
    </row>
    <row r="117" spans="1:7" ht="31.5">
      <c r="A117" s="69" t="s">
        <v>25</v>
      </c>
      <c r="B117" s="69" t="s">
        <v>10</v>
      </c>
      <c r="C117" s="69" t="s">
        <v>518</v>
      </c>
      <c r="D117" s="69" t="s">
        <v>96</v>
      </c>
      <c r="E117" s="70" t="s">
        <v>329</v>
      </c>
      <c r="F117" s="73">
        <v>800</v>
      </c>
      <c r="G117" s="73">
        <v>789.4</v>
      </c>
    </row>
    <row r="118" spans="1:7" ht="31.5">
      <c r="A118" s="69" t="s">
        <v>25</v>
      </c>
      <c r="B118" s="69" t="s">
        <v>10</v>
      </c>
      <c r="C118" s="69" t="s">
        <v>517</v>
      </c>
      <c r="D118" s="81"/>
      <c r="E118" s="70" t="s">
        <v>514</v>
      </c>
      <c r="F118" s="73">
        <f>F119</f>
        <v>1172.1</v>
      </c>
      <c r="G118" s="73">
        <f aca="true" t="shared" si="51" ref="G118">G119</f>
        <v>1156.3</v>
      </c>
    </row>
    <row r="119" spans="1:7" ht="31.5">
      <c r="A119" s="69" t="s">
        <v>25</v>
      </c>
      <c r="B119" s="69" t="s">
        <v>10</v>
      </c>
      <c r="C119" s="69" t="s">
        <v>517</v>
      </c>
      <c r="D119" s="69" t="s">
        <v>96</v>
      </c>
      <c r="E119" s="70" t="s">
        <v>329</v>
      </c>
      <c r="F119" s="73">
        <v>1172.1</v>
      </c>
      <c r="G119" s="73">
        <v>1156.3</v>
      </c>
    </row>
    <row r="120" spans="1:7" ht="78.75">
      <c r="A120" s="69" t="s">
        <v>25</v>
      </c>
      <c r="B120" s="69" t="s">
        <v>10</v>
      </c>
      <c r="C120" s="69" t="s">
        <v>500</v>
      </c>
      <c r="D120" s="69" t="s">
        <v>93</v>
      </c>
      <c r="E120" s="70" t="s">
        <v>576</v>
      </c>
      <c r="F120" s="73">
        <f>F121</f>
        <v>10632.8</v>
      </c>
      <c r="G120" s="73">
        <f aca="true" t="shared" si="52" ref="G120">G121</f>
        <v>8999.2</v>
      </c>
    </row>
    <row r="121" spans="1:7" ht="31.5">
      <c r="A121" s="69" t="s">
        <v>25</v>
      </c>
      <c r="B121" s="69" t="s">
        <v>10</v>
      </c>
      <c r="C121" s="69" t="s">
        <v>500</v>
      </c>
      <c r="D121" s="69" t="s">
        <v>96</v>
      </c>
      <c r="E121" s="70" t="s">
        <v>329</v>
      </c>
      <c r="F121" s="73">
        <f>5200+3534+1745.3+153.5</f>
        <v>10632.8</v>
      </c>
      <c r="G121" s="73">
        <v>8999.2</v>
      </c>
    </row>
    <row r="122" spans="1:7" ht="47.25">
      <c r="A122" s="69" t="s">
        <v>25</v>
      </c>
      <c r="B122" s="61" t="s">
        <v>10</v>
      </c>
      <c r="C122" s="14" t="s">
        <v>532</v>
      </c>
      <c r="D122" s="256"/>
      <c r="E122" s="48" t="s">
        <v>533</v>
      </c>
      <c r="F122" s="73">
        <f>F123</f>
        <v>77.3</v>
      </c>
      <c r="G122" s="73">
        <f aca="true" t="shared" si="53" ref="G122:G123">G123</f>
        <v>0</v>
      </c>
    </row>
    <row r="123" spans="1:7" ht="47.25">
      <c r="A123" s="69" t="s">
        <v>25</v>
      </c>
      <c r="B123" s="61" t="s">
        <v>10</v>
      </c>
      <c r="C123" s="14" t="s">
        <v>534</v>
      </c>
      <c r="D123" s="256"/>
      <c r="E123" s="48" t="s">
        <v>535</v>
      </c>
      <c r="F123" s="73">
        <f>F124</f>
        <v>77.3</v>
      </c>
      <c r="G123" s="73">
        <f t="shared" si="53"/>
        <v>0</v>
      </c>
    </row>
    <row r="124" spans="1:7" ht="31.5">
      <c r="A124" s="69" t="s">
        <v>25</v>
      </c>
      <c r="B124" s="61" t="s">
        <v>10</v>
      </c>
      <c r="C124" s="14" t="s">
        <v>534</v>
      </c>
      <c r="D124" s="256" t="s">
        <v>96</v>
      </c>
      <c r="E124" s="48" t="s">
        <v>536</v>
      </c>
      <c r="F124" s="73">
        <f>150-72.7</f>
        <v>77.3</v>
      </c>
      <c r="G124" s="73">
        <v>0</v>
      </c>
    </row>
    <row r="125" spans="1:7" ht="47.25">
      <c r="A125" s="69" t="s">
        <v>25</v>
      </c>
      <c r="B125" s="69" t="s">
        <v>10</v>
      </c>
      <c r="C125" s="69" t="s">
        <v>226</v>
      </c>
      <c r="D125" s="69" t="s">
        <v>93</v>
      </c>
      <c r="E125" s="70" t="s">
        <v>358</v>
      </c>
      <c r="F125" s="73">
        <f>F126</f>
        <v>3928</v>
      </c>
      <c r="G125" s="73">
        <f aca="true" t="shared" si="54" ref="G125">G126</f>
        <v>3928</v>
      </c>
    </row>
    <row r="126" spans="1:7" ht="63">
      <c r="A126" s="69" t="s">
        <v>25</v>
      </c>
      <c r="B126" s="69" t="s">
        <v>10</v>
      </c>
      <c r="C126" s="69" t="s">
        <v>359</v>
      </c>
      <c r="D126" s="81" t="s">
        <v>93</v>
      </c>
      <c r="E126" s="70" t="s">
        <v>360</v>
      </c>
      <c r="F126" s="73">
        <f>F127+F131+F129</f>
        <v>3928</v>
      </c>
      <c r="G126" s="73">
        <f aca="true" t="shared" si="55" ref="G126">G127+G131+G129</f>
        <v>3928</v>
      </c>
    </row>
    <row r="127" spans="1:7" ht="31.5">
      <c r="A127" s="69" t="s">
        <v>25</v>
      </c>
      <c r="B127" s="69" t="s">
        <v>10</v>
      </c>
      <c r="C127" s="69" t="s">
        <v>227</v>
      </c>
      <c r="D127" s="69" t="s">
        <v>93</v>
      </c>
      <c r="E127" s="70" t="s">
        <v>361</v>
      </c>
      <c r="F127" s="73">
        <f>F128</f>
        <v>3500</v>
      </c>
      <c r="G127" s="73">
        <f aca="true" t="shared" si="56" ref="G127">G128</f>
        <v>3500</v>
      </c>
    </row>
    <row r="128" spans="1:7" ht="31.5">
      <c r="A128" s="69" t="s">
        <v>25</v>
      </c>
      <c r="B128" s="69" t="s">
        <v>10</v>
      </c>
      <c r="C128" s="69" t="s">
        <v>227</v>
      </c>
      <c r="D128" s="69" t="s">
        <v>96</v>
      </c>
      <c r="E128" s="70" t="s">
        <v>329</v>
      </c>
      <c r="F128" s="73">
        <v>3500</v>
      </c>
      <c r="G128" s="73">
        <v>3500</v>
      </c>
    </row>
    <row r="129" spans="1:7" ht="31.5">
      <c r="A129" s="69" t="s">
        <v>25</v>
      </c>
      <c r="B129" s="69" t="s">
        <v>10</v>
      </c>
      <c r="C129" s="14" t="s">
        <v>593</v>
      </c>
      <c r="D129" s="15"/>
      <c r="E129" s="48" t="s">
        <v>594</v>
      </c>
      <c r="F129" s="73">
        <f>F130</f>
        <v>250.7</v>
      </c>
      <c r="G129" s="73">
        <f aca="true" t="shared" si="57" ref="G129">G130</f>
        <v>250.7</v>
      </c>
    </row>
    <row r="130" spans="1:7" ht="31.5">
      <c r="A130" s="69" t="s">
        <v>25</v>
      </c>
      <c r="B130" s="69" t="s">
        <v>10</v>
      </c>
      <c r="C130" s="69" t="s">
        <v>593</v>
      </c>
      <c r="D130" s="69" t="s">
        <v>96</v>
      </c>
      <c r="E130" s="70" t="s">
        <v>329</v>
      </c>
      <c r="F130" s="73">
        <f>252-1.3</f>
        <v>250.7</v>
      </c>
      <c r="G130" s="73">
        <v>250.7</v>
      </c>
    </row>
    <row r="131" spans="1:7" ht="31.5">
      <c r="A131" s="69" t="s">
        <v>25</v>
      </c>
      <c r="B131" s="69" t="s">
        <v>10</v>
      </c>
      <c r="C131" s="69" t="s">
        <v>589</v>
      </c>
      <c r="D131" s="69" t="s">
        <v>93</v>
      </c>
      <c r="E131" s="70" t="s">
        <v>590</v>
      </c>
      <c r="F131" s="73">
        <f>F132</f>
        <v>177.3</v>
      </c>
      <c r="G131" s="73">
        <f aca="true" t="shared" si="58" ref="G131">G132</f>
        <v>177.3</v>
      </c>
    </row>
    <row r="132" spans="1:7" ht="31.5">
      <c r="A132" s="69" t="s">
        <v>25</v>
      </c>
      <c r="B132" s="69" t="s">
        <v>10</v>
      </c>
      <c r="C132" s="69" t="s">
        <v>589</v>
      </c>
      <c r="D132" s="69" t="s">
        <v>96</v>
      </c>
      <c r="E132" s="70" t="s">
        <v>329</v>
      </c>
      <c r="F132" s="73">
        <f>180-2.7</f>
        <v>177.3</v>
      </c>
      <c r="G132" s="73">
        <v>177.3</v>
      </c>
    </row>
    <row r="133" spans="1:7" ht="12.75">
      <c r="A133" s="69" t="s">
        <v>25</v>
      </c>
      <c r="B133" s="69" t="s">
        <v>74</v>
      </c>
      <c r="C133" s="69" t="s">
        <v>93</v>
      </c>
      <c r="D133" s="69" t="s">
        <v>93</v>
      </c>
      <c r="E133" s="70" t="s">
        <v>49</v>
      </c>
      <c r="F133" s="73">
        <f>F134</f>
        <v>575.9</v>
      </c>
      <c r="G133" s="73">
        <f aca="true" t="shared" si="59" ref="G133">G134</f>
        <v>575.9</v>
      </c>
    </row>
    <row r="134" spans="1:7" ht="63">
      <c r="A134" s="69" t="s">
        <v>25</v>
      </c>
      <c r="B134" s="69" t="s">
        <v>74</v>
      </c>
      <c r="C134" s="69" t="s">
        <v>228</v>
      </c>
      <c r="D134" s="69" t="s">
        <v>93</v>
      </c>
      <c r="E134" s="70" t="s">
        <v>362</v>
      </c>
      <c r="F134" s="73">
        <f>F135+F144</f>
        <v>575.9</v>
      </c>
      <c r="G134" s="73">
        <f aca="true" t="shared" si="60" ref="G134">G135+G144</f>
        <v>575.9</v>
      </c>
    </row>
    <row r="135" spans="1:7" ht="47.25">
      <c r="A135" s="69" t="s">
        <v>25</v>
      </c>
      <c r="B135" s="69" t="s">
        <v>74</v>
      </c>
      <c r="C135" s="69" t="s">
        <v>229</v>
      </c>
      <c r="D135" s="69" t="s">
        <v>93</v>
      </c>
      <c r="E135" s="70" t="s">
        <v>163</v>
      </c>
      <c r="F135" s="73">
        <f>F136+F141</f>
        <v>65.3</v>
      </c>
      <c r="G135" s="73">
        <f aca="true" t="shared" si="61" ref="G135">G136+G141</f>
        <v>65.3</v>
      </c>
    </row>
    <row r="136" spans="1:7" ht="31.5">
      <c r="A136" s="69" t="s">
        <v>25</v>
      </c>
      <c r="B136" s="69" t="s">
        <v>74</v>
      </c>
      <c r="C136" s="69" t="s">
        <v>363</v>
      </c>
      <c r="D136" s="81" t="s">
        <v>93</v>
      </c>
      <c r="E136" s="70" t="s">
        <v>364</v>
      </c>
      <c r="F136" s="73">
        <f>F137+F139</f>
        <v>60</v>
      </c>
      <c r="G136" s="73">
        <f aca="true" t="shared" si="62" ref="G136">G137+G139</f>
        <v>60</v>
      </c>
    </row>
    <row r="137" spans="1:7" ht="47.25">
      <c r="A137" s="69" t="s">
        <v>25</v>
      </c>
      <c r="B137" s="69" t="s">
        <v>74</v>
      </c>
      <c r="C137" s="69" t="s">
        <v>230</v>
      </c>
      <c r="D137" s="69" t="s">
        <v>93</v>
      </c>
      <c r="E137" s="70" t="s">
        <v>164</v>
      </c>
      <c r="F137" s="73">
        <f>F138</f>
        <v>26</v>
      </c>
      <c r="G137" s="73">
        <f aca="true" t="shared" si="63" ref="G137">G138</f>
        <v>26</v>
      </c>
    </row>
    <row r="138" spans="1:7" ht="31.5">
      <c r="A138" s="69" t="s">
        <v>25</v>
      </c>
      <c r="B138" s="69" t="s">
        <v>74</v>
      </c>
      <c r="C138" s="69" t="s">
        <v>230</v>
      </c>
      <c r="D138" s="69" t="s">
        <v>96</v>
      </c>
      <c r="E138" s="70" t="s">
        <v>329</v>
      </c>
      <c r="F138" s="73">
        <f>27-1</f>
        <v>26</v>
      </c>
      <c r="G138" s="73">
        <v>26</v>
      </c>
    </row>
    <row r="139" spans="1:7" ht="47.25">
      <c r="A139" s="69" t="s">
        <v>25</v>
      </c>
      <c r="B139" s="69" t="s">
        <v>74</v>
      </c>
      <c r="C139" s="69" t="s">
        <v>365</v>
      </c>
      <c r="D139" s="69" t="s">
        <v>93</v>
      </c>
      <c r="E139" s="70" t="s">
        <v>480</v>
      </c>
      <c r="F139" s="73">
        <f>F140</f>
        <v>34</v>
      </c>
      <c r="G139" s="73">
        <f aca="true" t="shared" si="64" ref="G139">G140</f>
        <v>34</v>
      </c>
    </row>
    <row r="140" spans="1:7" ht="31.5">
      <c r="A140" s="69" t="s">
        <v>25</v>
      </c>
      <c r="B140" s="69" t="s">
        <v>74</v>
      </c>
      <c r="C140" s="69" t="s">
        <v>365</v>
      </c>
      <c r="D140" s="69" t="s">
        <v>96</v>
      </c>
      <c r="E140" s="70" t="s">
        <v>329</v>
      </c>
      <c r="F140" s="73">
        <f>33+17.2-16.2</f>
        <v>34</v>
      </c>
      <c r="G140" s="73">
        <v>34</v>
      </c>
    </row>
    <row r="141" spans="1:7" ht="12.75">
      <c r="A141" s="69" t="s">
        <v>25</v>
      </c>
      <c r="B141" s="69" t="s">
        <v>74</v>
      </c>
      <c r="C141" s="69" t="s">
        <v>366</v>
      </c>
      <c r="D141" s="81" t="s">
        <v>93</v>
      </c>
      <c r="E141" s="70" t="s">
        <v>367</v>
      </c>
      <c r="F141" s="73">
        <f>F142</f>
        <v>5.3</v>
      </c>
      <c r="G141" s="73">
        <f aca="true" t="shared" si="65" ref="G141:G142">G142</f>
        <v>5.3</v>
      </c>
    </row>
    <row r="142" spans="1:7" ht="114" customHeight="1">
      <c r="A142" s="69" t="s">
        <v>25</v>
      </c>
      <c r="B142" s="69" t="s">
        <v>74</v>
      </c>
      <c r="C142" s="69" t="s">
        <v>231</v>
      </c>
      <c r="D142" s="69" t="s">
        <v>93</v>
      </c>
      <c r="E142" s="70" t="s">
        <v>368</v>
      </c>
      <c r="F142" s="73">
        <f>F143</f>
        <v>5.3</v>
      </c>
      <c r="G142" s="73">
        <f t="shared" si="65"/>
        <v>5.3</v>
      </c>
    </row>
    <row r="143" spans="1:7" ht="31.5">
      <c r="A143" s="69" t="s">
        <v>25</v>
      </c>
      <c r="B143" s="69" t="s">
        <v>74</v>
      </c>
      <c r="C143" s="69" t="s">
        <v>231</v>
      </c>
      <c r="D143" s="69" t="s">
        <v>96</v>
      </c>
      <c r="E143" s="70" t="s">
        <v>329</v>
      </c>
      <c r="F143" s="73">
        <v>5.3</v>
      </c>
      <c r="G143" s="73">
        <v>5.3</v>
      </c>
    </row>
    <row r="144" spans="1:7" ht="31.5">
      <c r="A144" s="69" t="s">
        <v>25</v>
      </c>
      <c r="B144" s="69" t="s">
        <v>74</v>
      </c>
      <c r="C144" s="69" t="s">
        <v>232</v>
      </c>
      <c r="D144" s="69" t="s">
        <v>93</v>
      </c>
      <c r="E144" s="70" t="s">
        <v>165</v>
      </c>
      <c r="F144" s="73">
        <f>F145</f>
        <v>510.59999999999997</v>
      </c>
      <c r="G144" s="73">
        <f aca="true" t="shared" si="66" ref="G144">G145</f>
        <v>510.6</v>
      </c>
    </row>
    <row r="145" spans="1:7" ht="31.5">
      <c r="A145" s="69" t="s">
        <v>25</v>
      </c>
      <c r="B145" s="69" t="s">
        <v>74</v>
      </c>
      <c r="C145" s="69" t="s">
        <v>369</v>
      </c>
      <c r="D145" s="81" t="s">
        <v>93</v>
      </c>
      <c r="E145" s="70" t="s">
        <v>370</v>
      </c>
      <c r="F145" s="73">
        <f>F146+F148</f>
        <v>510.59999999999997</v>
      </c>
      <c r="G145" s="73">
        <f aca="true" t="shared" si="67" ref="G145">G146+G148</f>
        <v>510.6</v>
      </c>
    </row>
    <row r="146" spans="1:7" ht="31.5">
      <c r="A146" s="69" t="s">
        <v>25</v>
      </c>
      <c r="B146" s="69" t="s">
        <v>74</v>
      </c>
      <c r="C146" s="69" t="s">
        <v>233</v>
      </c>
      <c r="D146" s="69" t="s">
        <v>93</v>
      </c>
      <c r="E146" s="70" t="s">
        <v>166</v>
      </c>
      <c r="F146" s="73">
        <f>F147</f>
        <v>379.79999999999995</v>
      </c>
      <c r="G146" s="73">
        <f aca="true" t="shared" si="68" ref="G146">G147</f>
        <v>379.8</v>
      </c>
    </row>
    <row r="147" spans="1:7" ht="31.5">
      <c r="A147" s="69" t="s">
        <v>25</v>
      </c>
      <c r="B147" s="69" t="s">
        <v>74</v>
      </c>
      <c r="C147" s="69" t="s">
        <v>233</v>
      </c>
      <c r="D147" s="69" t="s">
        <v>96</v>
      </c>
      <c r="E147" s="70" t="s">
        <v>329</v>
      </c>
      <c r="F147" s="73">
        <f>30.7+435.5-86.4</f>
        <v>379.79999999999995</v>
      </c>
      <c r="G147" s="73">
        <v>379.8</v>
      </c>
    </row>
    <row r="148" spans="1:7" ht="47.25">
      <c r="A148" s="69" t="s">
        <v>25</v>
      </c>
      <c r="B148" s="69" t="s">
        <v>74</v>
      </c>
      <c r="C148" s="69" t="s">
        <v>234</v>
      </c>
      <c r="D148" s="69" t="s">
        <v>93</v>
      </c>
      <c r="E148" s="70" t="s">
        <v>167</v>
      </c>
      <c r="F148" s="73">
        <f>F149</f>
        <v>130.8</v>
      </c>
      <c r="G148" s="73">
        <f aca="true" t="shared" si="69" ref="G148">G149</f>
        <v>130.8</v>
      </c>
    </row>
    <row r="149" spans="1:7" ht="12.75">
      <c r="A149" s="69" t="s">
        <v>25</v>
      </c>
      <c r="B149" s="69" t="s">
        <v>74</v>
      </c>
      <c r="C149" s="69" t="s">
        <v>234</v>
      </c>
      <c r="D149" s="69" t="s">
        <v>97</v>
      </c>
      <c r="E149" s="70" t="s">
        <v>98</v>
      </c>
      <c r="F149" s="73">
        <f>142.3-11.5</f>
        <v>130.8</v>
      </c>
      <c r="G149" s="73">
        <v>130.8</v>
      </c>
    </row>
    <row r="150" spans="1:7" ht="12.75">
      <c r="A150" s="69" t="s">
        <v>25</v>
      </c>
      <c r="B150" s="69" t="s">
        <v>84</v>
      </c>
      <c r="C150" s="69" t="s">
        <v>93</v>
      </c>
      <c r="D150" s="69" t="s">
        <v>93</v>
      </c>
      <c r="E150" s="68" t="s">
        <v>50</v>
      </c>
      <c r="F150" s="73">
        <f>F151+F159</f>
        <v>25808.600000000006</v>
      </c>
      <c r="G150" s="73">
        <f>G151+G159</f>
        <v>22054.600000000006</v>
      </c>
    </row>
    <row r="151" spans="1:7" ht="12.75">
      <c r="A151" s="69" t="s">
        <v>25</v>
      </c>
      <c r="B151" s="69" t="s">
        <v>75</v>
      </c>
      <c r="C151" s="69" t="s">
        <v>93</v>
      </c>
      <c r="D151" s="69" t="s">
        <v>93</v>
      </c>
      <c r="E151" s="70" t="s">
        <v>51</v>
      </c>
      <c r="F151" s="73">
        <f>F152</f>
        <v>3521</v>
      </c>
      <c r="G151" s="73">
        <f aca="true" t="shared" si="70" ref="G151:G152">G152</f>
        <v>228</v>
      </c>
    </row>
    <row r="152" spans="1:7" ht="47.25">
      <c r="A152" s="69" t="s">
        <v>25</v>
      </c>
      <c r="B152" s="69" t="s">
        <v>75</v>
      </c>
      <c r="C152" s="69" t="s">
        <v>218</v>
      </c>
      <c r="D152" s="69" t="s">
        <v>93</v>
      </c>
      <c r="E152" s="70" t="s">
        <v>347</v>
      </c>
      <c r="F152" s="73">
        <f>F153</f>
        <v>3521</v>
      </c>
      <c r="G152" s="73">
        <f t="shared" si="70"/>
        <v>228</v>
      </c>
    </row>
    <row r="153" spans="1:7" ht="47.25">
      <c r="A153" s="69" t="s">
        <v>25</v>
      </c>
      <c r="B153" s="69" t="s">
        <v>75</v>
      </c>
      <c r="C153" s="69" t="s">
        <v>371</v>
      </c>
      <c r="D153" s="69" t="s">
        <v>93</v>
      </c>
      <c r="E153" s="70" t="s">
        <v>372</v>
      </c>
      <c r="F153" s="73">
        <f>F154</f>
        <v>3521</v>
      </c>
      <c r="G153" s="73">
        <f aca="true" t="shared" si="71" ref="G153">G154</f>
        <v>228</v>
      </c>
    </row>
    <row r="154" spans="1:7" ht="31.5">
      <c r="A154" s="69" t="s">
        <v>25</v>
      </c>
      <c r="B154" s="69" t="s">
        <v>75</v>
      </c>
      <c r="C154" s="69" t="s">
        <v>373</v>
      </c>
      <c r="D154" s="81" t="s">
        <v>93</v>
      </c>
      <c r="E154" s="70" t="s">
        <v>374</v>
      </c>
      <c r="F154" s="73">
        <f>+F157+F155</f>
        <v>3521</v>
      </c>
      <c r="G154" s="73">
        <f>+G157+G155</f>
        <v>228</v>
      </c>
    </row>
    <row r="155" spans="1:7" ht="12.75">
      <c r="A155" s="69" t="s">
        <v>25</v>
      </c>
      <c r="B155" s="69" t="s">
        <v>75</v>
      </c>
      <c r="C155" s="69" t="s">
        <v>490</v>
      </c>
      <c r="D155" s="69" t="s">
        <v>93</v>
      </c>
      <c r="E155" s="70" t="s">
        <v>491</v>
      </c>
      <c r="F155" s="73">
        <f>F156</f>
        <v>198</v>
      </c>
      <c r="G155" s="73">
        <f aca="true" t="shared" si="72" ref="G155">G156</f>
        <v>198</v>
      </c>
    </row>
    <row r="156" spans="1:7" ht="47.25">
      <c r="A156" s="69" t="s">
        <v>25</v>
      </c>
      <c r="B156" s="69" t="s">
        <v>75</v>
      </c>
      <c r="C156" s="69" t="s">
        <v>490</v>
      </c>
      <c r="D156" s="69" t="s">
        <v>99</v>
      </c>
      <c r="E156" s="70" t="s">
        <v>375</v>
      </c>
      <c r="F156" s="73">
        <v>198</v>
      </c>
      <c r="G156" s="73">
        <v>198</v>
      </c>
    </row>
    <row r="157" spans="1:7" ht="12.75">
      <c r="A157" s="69" t="s">
        <v>25</v>
      </c>
      <c r="B157" s="69" t="s">
        <v>75</v>
      </c>
      <c r="C157" s="69" t="s">
        <v>376</v>
      </c>
      <c r="D157" s="69" t="s">
        <v>93</v>
      </c>
      <c r="E157" s="70" t="s">
        <v>377</v>
      </c>
      <c r="F157" s="73">
        <f>F158</f>
        <v>3323</v>
      </c>
      <c r="G157" s="73">
        <f aca="true" t="shared" si="73" ref="G157">G158</f>
        <v>30</v>
      </c>
    </row>
    <row r="158" spans="1:7" ht="31.5">
      <c r="A158" s="69" t="s">
        <v>25</v>
      </c>
      <c r="B158" s="69" t="s">
        <v>75</v>
      </c>
      <c r="C158" s="69" t="s">
        <v>376</v>
      </c>
      <c r="D158" s="69" t="s">
        <v>96</v>
      </c>
      <c r="E158" s="70" t="s">
        <v>329</v>
      </c>
      <c r="F158" s="73">
        <f>10550+700-500-7427</f>
        <v>3323</v>
      </c>
      <c r="G158" s="73">
        <v>30</v>
      </c>
    </row>
    <row r="159" spans="1:7" ht="12.75">
      <c r="A159" s="69" t="s">
        <v>25</v>
      </c>
      <c r="B159" s="69" t="s">
        <v>76</v>
      </c>
      <c r="C159" s="69" t="s">
        <v>93</v>
      </c>
      <c r="D159" s="69" t="s">
        <v>93</v>
      </c>
      <c r="E159" s="70" t="s">
        <v>52</v>
      </c>
      <c r="F159" s="73">
        <f>F160+F182</f>
        <v>22287.600000000006</v>
      </c>
      <c r="G159" s="73">
        <f>G160+G182</f>
        <v>21826.600000000006</v>
      </c>
    </row>
    <row r="160" spans="1:7" ht="60.6" customHeight="1">
      <c r="A160" s="69" t="s">
        <v>25</v>
      </c>
      <c r="B160" s="69" t="s">
        <v>76</v>
      </c>
      <c r="C160" s="69" t="s">
        <v>218</v>
      </c>
      <c r="D160" s="69" t="s">
        <v>93</v>
      </c>
      <c r="E160" s="70" t="s">
        <v>595</v>
      </c>
      <c r="F160" s="73">
        <f>F161</f>
        <v>21287.600000000006</v>
      </c>
      <c r="G160" s="73">
        <f aca="true" t="shared" si="74" ref="G160">G161</f>
        <v>20827.200000000004</v>
      </c>
    </row>
    <row r="161" spans="1:7" ht="47.25">
      <c r="A161" s="69" t="s">
        <v>25</v>
      </c>
      <c r="B161" s="69" t="s">
        <v>76</v>
      </c>
      <c r="C161" s="69" t="s">
        <v>219</v>
      </c>
      <c r="D161" s="69" t="s">
        <v>93</v>
      </c>
      <c r="E161" s="70" t="s">
        <v>170</v>
      </c>
      <c r="F161" s="73">
        <f>F162+F179</f>
        <v>21287.600000000006</v>
      </c>
      <c r="G161" s="73">
        <f>G162+G179</f>
        <v>20827.200000000004</v>
      </c>
    </row>
    <row r="162" spans="1:7" ht="31.5">
      <c r="A162" s="69" t="s">
        <v>25</v>
      </c>
      <c r="B162" s="69" t="s">
        <v>76</v>
      </c>
      <c r="C162" s="69" t="s">
        <v>378</v>
      </c>
      <c r="D162" s="81" t="s">
        <v>93</v>
      </c>
      <c r="E162" s="70" t="s">
        <v>379</v>
      </c>
      <c r="F162" s="73">
        <f>F165+F167+F169+F171+F175+F163+F177+F173</f>
        <v>20522.500000000007</v>
      </c>
      <c r="G162" s="73">
        <f>G165+G167+G169+G171+G175+G163+G177+G173</f>
        <v>20062.100000000006</v>
      </c>
    </row>
    <row r="163" spans="1:7" ht="31.5">
      <c r="A163" s="69" t="s">
        <v>25</v>
      </c>
      <c r="B163" s="69" t="s">
        <v>76</v>
      </c>
      <c r="C163" s="69" t="s">
        <v>512</v>
      </c>
      <c r="D163" s="69" t="s">
        <v>93</v>
      </c>
      <c r="E163" s="70" t="s">
        <v>513</v>
      </c>
      <c r="F163" s="73">
        <f>F164</f>
        <v>677.9</v>
      </c>
      <c r="G163" s="73">
        <f aca="true" t="shared" si="75" ref="G163">G164</f>
        <v>624.4</v>
      </c>
    </row>
    <row r="164" spans="1:7" ht="31.5">
      <c r="A164" s="69" t="s">
        <v>25</v>
      </c>
      <c r="B164" s="69" t="s">
        <v>76</v>
      </c>
      <c r="C164" s="69" t="s">
        <v>512</v>
      </c>
      <c r="D164" s="69" t="s">
        <v>96</v>
      </c>
      <c r="E164" s="70" t="s">
        <v>329</v>
      </c>
      <c r="F164" s="73">
        <v>677.9</v>
      </c>
      <c r="G164" s="73">
        <v>624.4</v>
      </c>
    </row>
    <row r="165" spans="1:7" ht="12.75">
      <c r="A165" s="69" t="s">
        <v>25</v>
      </c>
      <c r="B165" s="69" t="s">
        <v>76</v>
      </c>
      <c r="C165" s="69" t="s">
        <v>236</v>
      </c>
      <c r="D165" s="69" t="s">
        <v>93</v>
      </c>
      <c r="E165" s="70" t="s">
        <v>171</v>
      </c>
      <c r="F165" s="73">
        <f>F166</f>
        <v>13545.6</v>
      </c>
      <c r="G165" s="73">
        <f aca="true" t="shared" si="76" ref="G165">G166</f>
        <v>13301.2</v>
      </c>
    </row>
    <row r="166" spans="1:7" ht="31.5">
      <c r="A166" s="69" t="s">
        <v>25</v>
      </c>
      <c r="B166" s="69" t="s">
        <v>76</v>
      </c>
      <c r="C166" s="69" t="s">
        <v>236</v>
      </c>
      <c r="D166" s="69" t="s">
        <v>96</v>
      </c>
      <c r="E166" s="70" t="s">
        <v>329</v>
      </c>
      <c r="F166" s="73">
        <f>11006+3033.6-494</f>
        <v>13545.6</v>
      </c>
      <c r="G166" s="73">
        <v>13301.2</v>
      </c>
    </row>
    <row r="167" spans="1:7" ht="31.5">
      <c r="A167" s="69" t="s">
        <v>25</v>
      </c>
      <c r="B167" s="69" t="s">
        <v>76</v>
      </c>
      <c r="C167" s="69" t="s">
        <v>237</v>
      </c>
      <c r="D167" s="69" t="s">
        <v>93</v>
      </c>
      <c r="E167" s="70" t="s">
        <v>172</v>
      </c>
      <c r="F167" s="73">
        <f>F168</f>
        <v>1087.7</v>
      </c>
      <c r="G167" s="73">
        <f aca="true" t="shared" si="77" ref="G167">G168</f>
        <v>1087.7</v>
      </c>
    </row>
    <row r="168" spans="1:7" ht="31.5">
      <c r="A168" s="69" t="s">
        <v>25</v>
      </c>
      <c r="B168" s="69" t="s">
        <v>76</v>
      </c>
      <c r="C168" s="69" t="s">
        <v>237</v>
      </c>
      <c r="D168" s="69" t="s">
        <v>96</v>
      </c>
      <c r="E168" s="70" t="s">
        <v>329</v>
      </c>
      <c r="F168" s="73">
        <f>952.2+167.9-32.4</f>
        <v>1087.7</v>
      </c>
      <c r="G168" s="73">
        <v>1087.7</v>
      </c>
    </row>
    <row r="169" spans="1:7" ht="12.75">
      <c r="A169" s="69" t="s">
        <v>25</v>
      </c>
      <c r="B169" s="69" t="s">
        <v>76</v>
      </c>
      <c r="C169" s="69" t="s">
        <v>238</v>
      </c>
      <c r="D169" s="69" t="s">
        <v>93</v>
      </c>
      <c r="E169" s="70" t="s">
        <v>173</v>
      </c>
      <c r="F169" s="73">
        <f>F170</f>
        <v>2677.6</v>
      </c>
      <c r="G169" s="73">
        <f aca="true" t="shared" si="78" ref="G169">G170</f>
        <v>2542.5</v>
      </c>
    </row>
    <row r="170" spans="1:7" ht="31.5">
      <c r="A170" s="69" t="s">
        <v>25</v>
      </c>
      <c r="B170" s="69" t="s">
        <v>76</v>
      </c>
      <c r="C170" s="69" t="s">
        <v>238</v>
      </c>
      <c r="D170" s="69" t="s">
        <v>96</v>
      </c>
      <c r="E170" s="70" t="s">
        <v>329</v>
      </c>
      <c r="F170" s="73">
        <f>1625.1+500+552.5</f>
        <v>2677.6</v>
      </c>
      <c r="G170" s="73">
        <v>2542.5</v>
      </c>
    </row>
    <row r="171" spans="1:7" ht="31.5">
      <c r="A171" s="69" t="s">
        <v>25</v>
      </c>
      <c r="B171" s="69" t="s">
        <v>76</v>
      </c>
      <c r="C171" s="69" t="s">
        <v>239</v>
      </c>
      <c r="D171" s="69" t="s">
        <v>93</v>
      </c>
      <c r="E171" s="70" t="s">
        <v>380</v>
      </c>
      <c r="F171" s="73">
        <f>F172</f>
        <v>145.9</v>
      </c>
      <c r="G171" s="73">
        <f aca="true" t="shared" si="79" ref="G171">G172</f>
        <v>145.9</v>
      </c>
    </row>
    <row r="172" spans="1:7" ht="31.5">
      <c r="A172" s="69" t="s">
        <v>25</v>
      </c>
      <c r="B172" s="69" t="s">
        <v>76</v>
      </c>
      <c r="C172" s="69" t="s">
        <v>239</v>
      </c>
      <c r="D172" s="69" t="s">
        <v>96</v>
      </c>
      <c r="E172" s="70" t="s">
        <v>329</v>
      </c>
      <c r="F172" s="73">
        <v>145.9</v>
      </c>
      <c r="G172" s="73">
        <v>145.9</v>
      </c>
    </row>
    <row r="173" spans="1:7" ht="47.25">
      <c r="A173" s="69" t="s">
        <v>25</v>
      </c>
      <c r="B173" s="69" t="s">
        <v>76</v>
      </c>
      <c r="C173" s="69" t="s">
        <v>537</v>
      </c>
      <c r="D173" s="69" t="s">
        <v>93</v>
      </c>
      <c r="E173" s="70" t="s">
        <v>538</v>
      </c>
      <c r="F173" s="73">
        <f>F174</f>
        <v>258</v>
      </c>
      <c r="G173" s="73">
        <f aca="true" t="shared" si="80" ref="G173">G174</f>
        <v>258</v>
      </c>
    </row>
    <row r="174" spans="1:7" ht="31.5">
      <c r="A174" s="69" t="s">
        <v>25</v>
      </c>
      <c r="B174" s="69" t="s">
        <v>76</v>
      </c>
      <c r="C174" s="69" t="s">
        <v>537</v>
      </c>
      <c r="D174" s="69" t="s">
        <v>96</v>
      </c>
      <c r="E174" s="70" t="s">
        <v>329</v>
      </c>
      <c r="F174" s="73">
        <v>258</v>
      </c>
      <c r="G174" s="73">
        <v>258</v>
      </c>
    </row>
    <row r="175" spans="1:7" ht="47.25">
      <c r="A175" s="69" t="s">
        <v>25</v>
      </c>
      <c r="B175" s="69" t="s">
        <v>76</v>
      </c>
      <c r="C175" s="69" t="s">
        <v>381</v>
      </c>
      <c r="D175" s="69" t="s">
        <v>93</v>
      </c>
      <c r="E175" s="70" t="s">
        <v>382</v>
      </c>
      <c r="F175" s="73">
        <f>F176</f>
        <v>1133.4000000000005</v>
      </c>
      <c r="G175" s="73">
        <f aca="true" t="shared" si="81" ref="G175">G176</f>
        <v>1132.4</v>
      </c>
    </row>
    <row r="176" spans="1:7" ht="31.5">
      <c r="A176" s="69" t="s">
        <v>25</v>
      </c>
      <c r="B176" s="69" t="s">
        <v>76</v>
      </c>
      <c r="C176" s="69" t="s">
        <v>381</v>
      </c>
      <c r="D176" s="69" t="s">
        <v>96</v>
      </c>
      <c r="E176" s="70" t="s">
        <v>329</v>
      </c>
      <c r="F176" s="73">
        <f>6000-1542.6-16.4-25.4-3282.2</f>
        <v>1133.4000000000005</v>
      </c>
      <c r="G176" s="73">
        <v>1132.4</v>
      </c>
    </row>
    <row r="177" spans="1:7" ht="31.5">
      <c r="A177" s="69" t="s">
        <v>25</v>
      </c>
      <c r="B177" s="69" t="s">
        <v>76</v>
      </c>
      <c r="C177" s="69" t="s">
        <v>515</v>
      </c>
      <c r="D177" s="69" t="s">
        <v>93</v>
      </c>
      <c r="E177" s="70" t="s">
        <v>514</v>
      </c>
      <c r="F177" s="73">
        <f>F178</f>
        <v>996.3999999999999</v>
      </c>
      <c r="G177" s="73">
        <f aca="true" t="shared" si="82" ref="G177">G178</f>
        <v>970</v>
      </c>
    </row>
    <row r="178" spans="1:7" ht="31.5">
      <c r="A178" s="69" t="s">
        <v>25</v>
      </c>
      <c r="B178" s="69" t="s">
        <v>76</v>
      </c>
      <c r="C178" s="69" t="s">
        <v>515</v>
      </c>
      <c r="D178" s="69" t="s">
        <v>96</v>
      </c>
      <c r="E178" s="70" t="s">
        <v>329</v>
      </c>
      <c r="F178" s="73">
        <f>1053.1-56.7</f>
        <v>996.3999999999999</v>
      </c>
      <c r="G178" s="73">
        <v>970</v>
      </c>
    </row>
    <row r="179" spans="1:7" ht="63">
      <c r="A179" s="69" t="s">
        <v>25</v>
      </c>
      <c r="B179" s="69" t="s">
        <v>76</v>
      </c>
      <c r="C179" s="69" t="s">
        <v>348</v>
      </c>
      <c r="D179" s="81" t="s">
        <v>93</v>
      </c>
      <c r="E179" s="70" t="s">
        <v>349</v>
      </c>
      <c r="F179" s="73">
        <f>F180</f>
        <v>765.0999999999999</v>
      </c>
      <c r="G179" s="73">
        <f aca="true" t="shared" si="83" ref="G179:G180">G180</f>
        <v>765.1</v>
      </c>
    </row>
    <row r="180" spans="1:7" ht="47.25">
      <c r="A180" s="69" t="s">
        <v>25</v>
      </c>
      <c r="B180" s="69" t="s">
        <v>76</v>
      </c>
      <c r="C180" s="69" t="s">
        <v>240</v>
      </c>
      <c r="D180" s="69" t="s">
        <v>93</v>
      </c>
      <c r="E180" s="70" t="s">
        <v>174</v>
      </c>
      <c r="F180" s="73">
        <f>F181</f>
        <v>765.0999999999999</v>
      </c>
      <c r="G180" s="73">
        <f t="shared" si="83"/>
        <v>765.1</v>
      </c>
    </row>
    <row r="181" spans="1:7" ht="31.5">
      <c r="A181" s="69" t="s">
        <v>25</v>
      </c>
      <c r="B181" s="69" t="s">
        <v>76</v>
      </c>
      <c r="C181" s="69" t="s">
        <v>240</v>
      </c>
      <c r="D181" s="69" t="s">
        <v>96</v>
      </c>
      <c r="E181" s="70" t="s">
        <v>329</v>
      </c>
      <c r="F181" s="73">
        <f>265.8+500-0.7</f>
        <v>765.0999999999999</v>
      </c>
      <c r="G181" s="73">
        <v>765.1</v>
      </c>
    </row>
    <row r="182" spans="1:7" ht="12.75">
      <c r="A182" s="69" t="s">
        <v>25</v>
      </c>
      <c r="B182" s="69" t="s">
        <v>76</v>
      </c>
      <c r="C182" s="69" t="s">
        <v>308</v>
      </c>
      <c r="D182" s="69" t="s">
        <v>93</v>
      </c>
      <c r="E182" s="70" t="s">
        <v>413</v>
      </c>
      <c r="F182" s="73">
        <f>F186+F183</f>
        <v>1000</v>
      </c>
      <c r="G182" s="73">
        <f aca="true" t="shared" si="84" ref="G182">G186+G183</f>
        <v>999.4</v>
      </c>
    </row>
    <row r="183" spans="1:7" ht="12.75">
      <c r="A183" s="69" t="s">
        <v>25</v>
      </c>
      <c r="B183" s="69" t="s">
        <v>76</v>
      </c>
      <c r="C183" s="69" t="s">
        <v>414</v>
      </c>
      <c r="D183" s="69" t="s">
        <v>93</v>
      </c>
      <c r="E183" s="70" t="s">
        <v>13</v>
      </c>
      <c r="F183" s="73">
        <f>F184</f>
        <v>500</v>
      </c>
      <c r="G183" s="73">
        <f aca="true" t="shared" si="85" ref="G183:G184">G184</f>
        <v>499.4</v>
      </c>
    </row>
    <row r="184" spans="1:7" ht="31.5">
      <c r="A184" s="69" t="s">
        <v>25</v>
      </c>
      <c r="B184" s="69" t="s">
        <v>76</v>
      </c>
      <c r="C184" s="69" t="s">
        <v>258</v>
      </c>
      <c r="D184" s="69" t="s">
        <v>93</v>
      </c>
      <c r="E184" s="70" t="s">
        <v>131</v>
      </c>
      <c r="F184" s="73">
        <f>F185</f>
        <v>500</v>
      </c>
      <c r="G184" s="73">
        <f t="shared" si="85"/>
        <v>499.4</v>
      </c>
    </row>
    <row r="185" spans="1:7" ht="31.5">
      <c r="A185" s="69" t="s">
        <v>25</v>
      </c>
      <c r="B185" s="69" t="s">
        <v>76</v>
      </c>
      <c r="C185" s="69" t="s">
        <v>258</v>
      </c>
      <c r="D185" s="69" t="s">
        <v>96</v>
      </c>
      <c r="E185" s="70" t="s">
        <v>329</v>
      </c>
      <c r="F185" s="73">
        <v>500</v>
      </c>
      <c r="G185" s="73">
        <v>499.4</v>
      </c>
    </row>
    <row r="186" spans="1:7" ht="47.25">
      <c r="A186" s="69" t="s">
        <v>25</v>
      </c>
      <c r="B186" s="69" t="s">
        <v>76</v>
      </c>
      <c r="C186" s="69" t="s">
        <v>420</v>
      </c>
      <c r="D186" s="69" t="s">
        <v>93</v>
      </c>
      <c r="E186" s="70" t="s">
        <v>421</v>
      </c>
      <c r="F186" s="73">
        <f>F187</f>
        <v>500</v>
      </c>
      <c r="G186" s="73">
        <f aca="true" t="shared" si="86" ref="G186:G187">G187</f>
        <v>500</v>
      </c>
    </row>
    <row r="187" spans="1:7" ht="47.25">
      <c r="A187" s="69" t="s">
        <v>25</v>
      </c>
      <c r="B187" s="69" t="s">
        <v>76</v>
      </c>
      <c r="C187" s="69" t="s">
        <v>422</v>
      </c>
      <c r="D187" s="69" t="s">
        <v>93</v>
      </c>
      <c r="E187" s="70" t="s">
        <v>423</v>
      </c>
      <c r="F187" s="73">
        <f>F188</f>
        <v>500</v>
      </c>
      <c r="G187" s="73">
        <f t="shared" si="86"/>
        <v>500</v>
      </c>
    </row>
    <row r="188" spans="1:7" ht="31.5">
      <c r="A188" s="69" t="s">
        <v>25</v>
      </c>
      <c r="B188" s="69" t="s">
        <v>76</v>
      </c>
      <c r="C188" s="69" t="s">
        <v>422</v>
      </c>
      <c r="D188" s="69" t="s">
        <v>96</v>
      </c>
      <c r="E188" s="70" t="s">
        <v>329</v>
      </c>
      <c r="F188" s="73">
        <v>500</v>
      </c>
      <c r="G188" s="73">
        <v>500</v>
      </c>
    </row>
    <row r="189" spans="1:7" ht="12.75">
      <c r="A189" s="69" t="s">
        <v>25</v>
      </c>
      <c r="B189" s="69" t="s">
        <v>62</v>
      </c>
      <c r="C189" s="69" t="s">
        <v>93</v>
      </c>
      <c r="D189" s="69" t="s">
        <v>93</v>
      </c>
      <c r="E189" s="70" t="s">
        <v>53</v>
      </c>
      <c r="F189" s="73">
        <f>F202+F190</f>
        <v>17862.899999999998</v>
      </c>
      <c r="G189" s="73">
        <f>G202+G190</f>
        <v>17862.899999999998</v>
      </c>
    </row>
    <row r="190" spans="1:7" ht="12.75">
      <c r="A190" s="61" t="s">
        <v>25</v>
      </c>
      <c r="B190" s="61" t="s">
        <v>319</v>
      </c>
      <c r="C190" s="62"/>
      <c r="D190" s="62"/>
      <c r="E190" s="70" t="s">
        <v>320</v>
      </c>
      <c r="F190" s="73">
        <f>F191</f>
        <v>17055.8</v>
      </c>
      <c r="G190" s="73">
        <f aca="true" t="shared" si="87" ref="G190:G196">G191</f>
        <v>17055.8</v>
      </c>
    </row>
    <row r="191" spans="1:7" ht="47.25">
      <c r="A191" s="61" t="s">
        <v>25</v>
      </c>
      <c r="B191" s="61" t="s">
        <v>319</v>
      </c>
      <c r="C191" s="62" t="s">
        <v>241</v>
      </c>
      <c r="D191" s="62"/>
      <c r="E191" s="68" t="s">
        <v>149</v>
      </c>
      <c r="F191" s="73">
        <f>F192</f>
        <v>17055.8</v>
      </c>
      <c r="G191" s="73">
        <f t="shared" si="87"/>
        <v>17055.8</v>
      </c>
    </row>
    <row r="192" spans="1:7" ht="47.25">
      <c r="A192" s="61" t="s">
        <v>25</v>
      </c>
      <c r="B192" s="61" t="s">
        <v>319</v>
      </c>
      <c r="C192" s="62" t="s">
        <v>242</v>
      </c>
      <c r="D192" s="62"/>
      <c r="E192" s="68" t="s">
        <v>150</v>
      </c>
      <c r="F192" s="73">
        <f>F193</f>
        <v>17055.8</v>
      </c>
      <c r="G192" s="73">
        <f t="shared" si="87"/>
        <v>17055.8</v>
      </c>
    </row>
    <row r="193" spans="1:7" ht="31.5">
      <c r="A193" s="61" t="s">
        <v>25</v>
      </c>
      <c r="B193" s="61" t="s">
        <v>319</v>
      </c>
      <c r="C193" s="62" t="s">
        <v>394</v>
      </c>
      <c r="D193" s="256"/>
      <c r="E193" s="48" t="s">
        <v>395</v>
      </c>
      <c r="F193" s="73">
        <f>F196+F198+F194+F200</f>
        <v>17055.8</v>
      </c>
      <c r="G193" s="73">
        <f aca="true" t="shared" si="88" ref="G193">G196+G198+G194+G200</f>
        <v>17055.8</v>
      </c>
    </row>
    <row r="194" spans="1:7" ht="63">
      <c r="A194" s="61" t="s">
        <v>25</v>
      </c>
      <c r="B194" s="61" t="s">
        <v>319</v>
      </c>
      <c r="C194" s="69" t="s">
        <v>650</v>
      </c>
      <c r="D194" s="256"/>
      <c r="E194" s="48" t="s">
        <v>616</v>
      </c>
      <c r="F194" s="73">
        <f>F195</f>
        <v>1554.4</v>
      </c>
      <c r="G194" s="73">
        <f aca="true" t="shared" si="89" ref="G194">G195</f>
        <v>1554.4</v>
      </c>
    </row>
    <row r="195" spans="1:7" ht="31.5">
      <c r="A195" s="61" t="s">
        <v>25</v>
      </c>
      <c r="B195" s="61" t="s">
        <v>319</v>
      </c>
      <c r="C195" s="69" t="s">
        <v>650</v>
      </c>
      <c r="D195" s="69" t="s">
        <v>397</v>
      </c>
      <c r="E195" s="70" t="s">
        <v>398</v>
      </c>
      <c r="F195" s="73">
        <f>1287.4+267</f>
        <v>1554.4</v>
      </c>
      <c r="G195" s="73">
        <v>1554.4</v>
      </c>
    </row>
    <row r="196" spans="1:7" ht="31.5">
      <c r="A196" s="61" t="s">
        <v>25</v>
      </c>
      <c r="B196" s="61" t="s">
        <v>319</v>
      </c>
      <c r="C196" s="62" t="s">
        <v>243</v>
      </c>
      <c r="D196" s="62"/>
      <c r="E196" s="68" t="s">
        <v>178</v>
      </c>
      <c r="F196" s="73">
        <f>F197</f>
        <v>15330.899999999998</v>
      </c>
      <c r="G196" s="73">
        <f t="shared" si="87"/>
        <v>15330.9</v>
      </c>
    </row>
    <row r="197" spans="1:7" ht="31.5">
      <c r="A197" s="61" t="s">
        <v>25</v>
      </c>
      <c r="B197" s="61" t="s">
        <v>319</v>
      </c>
      <c r="C197" s="62" t="s">
        <v>243</v>
      </c>
      <c r="D197" s="256">
        <v>600</v>
      </c>
      <c r="E197" s="48" t="s">
        <v>117</v>
      </c>
      <c r="F197" s="73">
        <f>15444.3-128.7+15.3</f>
        <v>15330.899999999998</v>
      </c>
      <c r="G197" s="73">
        <v>15330.9</v>
      </c>
    </row>
    <row r="198" spans="1:7" ht="31.5">
      <c r="A198" s="61" t="s">
        <v>25</v>
      </c>
      <c r="B198" s="61" t="s">
        <v>319</v>
      </c>
      <c r="C198" s="69" t="s">
        <v>646</v>
      </c>
      <c r="D198" s="69" t="s">
        <v>93</v>
      </c>
      <c r="E198" s="70" t="s">
        <v>550</v>
      </c>
      <c r="F198" s="73">
        <f>F199</f>
        <v>41.8</v>
      </c>
      <c r="G198" s="73">
        <f aca="true" t="shared" si="90" ref="G198">G199</f>
        <v>41.8</v>
      </c>
    </row>
    <row r="199" spans="1:7" ht="31.5">
      <c r="A199" s="61" t="s">
        <v>25</v>
      </c>
      <c r="B199" s="61" t="s">
        <v>319</v>
      </c>
      <c r="C199" s="69" t="s">
        <v>646</v>
      </c>
      <c r="D199" s="69" t="s">
        <v>397</v>
      </c>
      <c r="E199" s="70" t="s">
        <v>398</v>
      </c>
      <c r="F199" s="73">
        <v>41.8</v>
      </c>
      <c r="G199" s="73">
        <v>41.8</v>
      </c>
    </row>
    <row r="200" spans="1:7" ht="63">
      <c r="A200" s="61" t="s">
        <v>25</v>
      </c>
      <c r="B200" s="61" t="s">
        <v>319</v>
      </c>
      <c r="C200" s="69" t="s">
        <v>651</v>
      </c>
      <c r="D200" s="69" t="s">
        <v>93</v>
      </c>
      <c r="E200" s="48" t="s">
        <v>623</v>
      </c>
      <c r="F200" s="73">
        <f>F201</f>
        <v>128.7</v>
      </c>
      <c r="G200" s="73">
        <f aca="true" t="shared" si="91" ref="G200">G201</f>
        <v>128.7</v>
      </c>
    </row>
    <row r="201" spans="1:7" ht="31.5">
      <c r="A201" s="61" t="s">
        <v>25</v>
      </c>
      <c r="B201" s="61" t="s">
        <v>319</v>
      </c>
      <c r="C201" s="69" t="s">
        <v>651</v>
      </c>
      <c r="D201" s="69" t="s">
        <v>397</v>
      </c>
      <c r="E201" s="70" t="s">
        <v>398</v>
      </c>
      <c r="F201" s="73">
        <v>128.7</v>
      </c>
      <c r="G201" s="73">
        <v>128.7</v>
      </c>
    </row>
    <row r="202" spans="1:7" ht="12.75">
      <c r="A202" s="69" t="s">
        <v>25</v>
      </c>
      <c r="B202" s="69" t="s">
        <v>63</v>
      </c>
      <c r="C202" s="69" t="s">
        <v>93</v>
      </c>
      <c r="D202" s="69" t="s">
        <v>93</v>
      </c>
      <c r="E202" s="70" t="s">
        <v>486</v>
      </c>
      <c r="F202" s="73">
        <f>F203</f>
        <v>807.0999999999999</v>
      </c>
      <c r="G202" s="73">
        <f aca="true" t="shared" si="92" ref="G202:G206">G203</f>
        <v>807.1</v>
      </c>
    </row>
    <row r="203" spans="1:7" ht="47.25">
      <c r="A203" s="69" t="s">
        <v>25</v>
      </c>
      <c r="B203" s="69" t="s">
        <v>63</v>
      </c>
      <c r="C203" s="69" t="s">
        <v>278</v>
      </c>
      <c r="D203" s="69" t="s">
        <v>93</v>
      </c>
      <c r="E203" s="70" t="s">
        <v>383</v>
      </c>
      <c r="F203" s="73">
        <f>F204</f>
        <v>807.0999999999999</v>
      </c>
      <c r="G203" s="73">
        <f t="shared" si="92"/>
        <v>807.1</v>
      </c>
    </row>
    <row r="204" spans="1:7" ht="78.75">
      <c r="A204" s="69" t="s">
        <v>25</v>
      </c>
      <c r="B204" s="69" t="s">
        <v>63</v>
      </c>
      <c r="C204" s="69" t="s">
        <v>384</v>
      </c>
      <c r="D204" s="69" t="s">
        <v>93</v>
      </c>
      <c r="E204" s="70" t="s">
        <v>385</v>
      </c>
      <c r="F204" s="73">
        <f>F205</f>
        <v>807.0999999999999</v>
      </c>
      <c r="G204" s="73">
        <f t="shared" si="92"/>
        <v>807.1</v>
      </c>
    </row>
    <row r="205" spans="1:7" ht="94.5">
      <c r="A205" s="69" t="s">
        <v>25</v>
      </c>
      <c r="B205" s="69" t="s">
        <v>63</v>
      </c>
      <c r="C205" s="260" t="s">
        <v>591</v>
      </c>
      <c r="D205" s="81" t="s">
        <v>93</v>
      </c>
      <c r="E205" s="70" t="s">
        <v>386</v>
      </c>
      <c r="F205" s="73">
        <f>F206</f>
        <v>807.0999999999999</v>
      </c>
      <c r="G205" s="73">
        <f t="shared" si="92"/>
        <v>807.1</v>
      </c>
    </row>
    <row r="206" spans="1:7" ht="94.5">
      <c r="A206" s="69" t="s">
        <v>25</v>
      </c>
      <c r="B206" s="69" t="s">
        <v>63</v>
      </c>
      <c r="C206" s="69" t="s">
        <v>387</v>
      </c>
      <c r="D206" s="69" t="s">
        <v>93</v>
      </c>
      <c r="E206" s="70" t="s">
        <v>388</v>
      </c>
      <c r="F206" s="73">
        <f>F207</f>
        <v>807.0999999999999</v>
      </c>
      <c r="G206" s="73">
        <f t="shared" si="92"/>
        <v>807.1</v>
      </c>
    </row>
    <row r="207" spans="1:7" ht="31.5">
      <c r="A207" s="69" t="s">
        <v>25</v>
      </c>
      <c r="B207" s="69" t="s">
        <v>63</v>
      </c>
      <c r="C207" s="69" t="s">
        <v>387</v>
      </c>
      <c r="D207" s="69" t="s">
        <v>96</v>
      </c>
      <c r="E207" s="70" t="s">
        <v>329</v>
      </c>
      <c r="F207" s="73">
        <f>811.1+259.5-263.5</f>
        <v>807.0999999999999</v>
      </c>
      <c r="G207" s="73">
        <v>807.1</v>
      </c>
    </row>
    <row r="208" spans="1:7" ht="12.75">
      <c r="A208" s="69" t="s">
        <v>25</v>
      </c>
      <c r="B208" s="69" t="s">
        <v>66</v>
      </c>
      <c r="C208" s="69" t="s">
        <v>93</v>
      </c>
      <c r="D208" s="69" t="s">
        <v>93</v>
      </c>
      <c r="E208" s="48" t="s">
        <v>111</v>
      </c>
      <c r="F208" s="73">
        <f>F209</f>
        <v>27502.999999999993</v>
      </c>
      <c r="G208" s="73">
        <f aca="true" t="shared" si="93" ref="G208:G210">G209</f>
        <v>27368.1</v>
      </c>
    </row>
    <row r="209" spans="1:7" ht="12.75">
      <c r="A209" s="69" t="s">
        <v>25</v>
      </c>
      <c r="B209" s="69" t="s">
        <v>67</v>
      </c>
      <c r="C209" s="69" t="s">
        <v>93</v>
      </c>
      <c r="D209" s="69" t="s">
        <v>93</v>
      </c>
      <c r="E209" s="70" t="s">
        <v>18</v>
      </c>
      <c r="F209" s="73">
        <f>F210+F249</f>
        <v>27502.999999999993</v>
      </c>
      <c r="G209" s="73">
        <f>G210+G249</f>
        <v>27368.1</v>
      </c>
    </row>
    <row r="210" spans="1:7" ht="47.25">
      <c r="A210" s="69" t="s">
        <v>25</v>
      </c>
      <c r="B210" s="69" t="s">
        <v>67</v>
      </c>
      <c r="C210" s="69" t="s">
        <v>241</v>
      </c>
      <c r="D210" s="69" t="s">
        <v>93</v>
      </c>
      <c r="E210" s="70" t="s">
        <v>389</v>
      </c>
      <c r="F210" s="73">
        <f>F211</f>
        <v>26933.399999999994</v>
      </c>
      <c r="G210" s="73">
        <f t="shared" si="93"/>
        <v>26798.5</v>
      </c>
    </row>
    <row r="211" spans="1:7" ht="47.25">
      <c r="A211" s="69" t="s">
        <v>25</v>
      </c>
      <c r="B211" s="69" t="s">
        <v>67</v>
      </c>
      <c r="C211" s="69" t="s">
        <v>242</v>
      </c>
      <c r="D211" s="69" t="s">
        <v>93</v>
      </c>
      <c r="E211" s="70" t="s">
        <v>150</v>
      </c>
      <c r="F211" s="73">
        <f>F212+F229+F246</f>
        <v>26933.399999999994</v>
      </c>
      <c r="G211" s="73">
        <f>G212+G229+G246</f>
        <v>26798.5</v>
      </c>
    </row>
    <row r="212" spans="1:7" ht="31.5">
      <c r="A212" s="69" t="s">
        <v>25</v>
      </c>
      <c r="B212" s="69" t="s">
        <v>67</v>
      </c>
      <c r="C212" s="69" t="s">
        <v>390</v>
      </c>
      <c r="D212" s="81" t="s">
        <v>93</v>
      </c>
      <c r="E212" s="70" t="s">
        <v>391</v>
      </c>
      <c r="F212" s="73">
        <f>F215+F219+F221+F213+F225+F227+F217</f>
        <v>11185.999999999998</v>
      </c>
      <c r="G212" s="73">
        <f>G215+G219+G221+G213+G225+G227+G217</f>
        <v>11051.1</v>
      </c>
    </row>
    <row r="213" spans="1:7" ht="47.25">
      <c r="A213" s="69" t="s">
        <v>25</v>
      </c>
      <c r="B213" s="69" t="s">
        <v>67</v>
      </c>
      <c r="C213" s="69" t="s">
        <v>612</v>
      </c>
      <c r="D213" s="81"/>
      <c r="E213" s="70" t="s">
        <v>617</v>
      </c>
      <c r="F213" s="73">
        <f>F214</f>
        <v>1934.1</v>
      </c>
      <c r="G213" s="73">
        <f aca="true" t="shared" si="94" ref="G213">G214</f>
        <v>1813</v>
      </c>
    </row>
    <row r="214" spans="1:7" ht="78.75">
      <c r="A214" s="69" t="s">
        <v>25</v>
      </c>
      <c r="B214" s="69" t="s">
        <v>67</v>
      </c>
      <c r="C214" s="69" t="s">
        <v>612</v>
      </c>
      <c r="D214" s="69" t="s">
        <v>95</v>
      </c>
      <c r="E214" s="70" t="s">
        <v>3</v>
      </c>
      <c r="F214" s="73">
        <v>1934.1</v>
      </c>
      <c r="G214" s="73">
        <v>1813</v>
      </c>
    </row>
    <row r="215" spans="1:7" ht="31.5">
      <c r="A215" s="69" t="s">
        <v>25</v>
      </c>
      <c r="B215" s="69" t="s">
        <v>67</v>
      </c>
      <c r="C215" s="69" t="s">
        <v>246</v>
      </c>
      <c r="D215" s="69" t="s">
        <v>93</v>
      </c>
      <c r="E215" s="70" t="s">
        <v>392</v>
      </c>
      <c r="F215" s="73">
        <f>F216</f>
        <v>155.1</v>
      </c>
      <c r="G215" s="73">
        <f aca="true" t="shared" si="95" ref="G215">G216</f>
        <v>155.1</v>
      </c>
    </row>
    <row r="216" spans="1:7" ht="31.5">
      <c r="A216" s="69" t="s">
        <v>25</v>
      </c>
      <c r="B216" s="69" t="s">
        <v>67</v>
      </c>
      <c r="C216" s="69" t="s">
        <v>246</v>
      </c>
      <c r="D216" s="69" t="s">
        <v>96</v>
      </c>
      <c r="E216" s="70" t="s">
        <v>329</v>
      </c>
      <c r="F216" s="73">
        <v>155.1</v>
      </c>
      <c r="G216" s="73">
        <v>155.1</v>
      </c>
    </row>
    <row r="217" spans="1:7" ht="31.5">
      <c r="A217" s="69" t="s">
        <v>25</v>
      </c>
      <c r="B217" s="69" t="s">
        <v>67</v>
      </c>
      <c r="C217" s="69" t="s">
        <v>681</v>
      </c>
      <c r="D217" s="69" t="s">
        <v>93</v>
      </c>
      <c r="E217" s="70" t="s">
        <v>682</v>
      </c>
      <c r="F217" s="73">
        <f>F218</f>
        <v>154.1</v>
      </c>
      <c r="G217" s="73">
        <f aca="true" t="shared" si="96" ref="G217">G218</f>
        <v>154.1</v>
      </c>
    </row>
    <row r="218" spans="1:7" ht="31.5">
      <c r="A218" s="69" t="s">
        <v>25</v>
      </c>
      <c r="B218" s="69" t="s">
        <v>67</v>
      </c>
      <c r="C218" s="69" t="s">
        <v>681</v>
      </c>
      <c r="D218" s="69" t="s">
        <v>96</v>
      </c>
      <c r="E218" s="70" t="s">
        <v>329</v>
      </c>
      <c r="F218" s="73">
        <v>154.1</v>
      </c>
      <c r="G218" s="73">
        <v>154.1</v>
      </c>
    </row>
    <row r="219" spans="1:7" ht="47.25">
      <c r="A219" s="69" t="s">
        <v>25</v>
      </c>
      <c r="B219" s="69" t="s">
        <v>67</v>
      </c>
      <c r="C219" s="69" t="s">
        <v>307</v>
      </c>
      <c r="D219" s="69" t="s">
        <v>93</v>
      </c>
      <c r="E219" s="70" t="s">
        <v>151</v>
      </c>
      <c r="F219" s="73">
        <f>F220</f>
        <v>85.30000000000001</v>
      </c>
      <c r="G219" s="73">
        <f aca="true" t="shared" si="97" ref="G219">G220</f>
        <v>85.1</v>
      </c>
    </row>
    <row r="220" spans="1:7" ht="31.5">
      <c r="A220" s="69" t="s">
        <v>25</v>
      </c>
      <c r="B220" s="69" t="s">
        <v>67</v>
      </c>
      <c r="C220" s="69" t="s">
        <v>307</v>
      </c>
      <c r="D220" s="69" t="s">
        <v>96</v>
      </c>
      <c r="E220" s="70" t="s">
        <v>329</v>
      </c>
      <c r="F220" s="73">
        <f>155.3-70</f>
        <v>85.30000000000001</v>
      </c>
      <c r="G220" s="73">
        <v>85.1</v>
      </c>
    </row>
    <row r="221" spans="1:7" ht="12.75">
      <c r="A221" s="69" t="s">
        <v>25</v>
      </c>
      <c r="B221" s="69" t="s">
        <v>67</v>
      </c>
      <c r="C221" s="69" t="s">
        <v>247</v>
      </c>
      <c r="D221" s="69" t="s">
        <v>93</v>
      </c>
      <c r="E221" s="70" t="s">
        <v>393</v>
      </c>
      <c r="F221" s="73">
        <f>F222+F223+F224</f>
        <v>8768.099999999999</v>
      </c>
      <c r="G221" s="73">
        <f aca="true" t="shared" si="98" ref="G221">G222+G223+G224</f>
        <v>8754.5</v>
      </c>
    </row>
    <row r="222" spans="1:7" ht="78.75">
      <c r="A222" s="69" t="s">
        <v>25</v>
      </c>
      <c r="B222" s="69" t="s">
        <v>67</v>
      </c>
      <c r="C222" s="69" t="s">
        <v>247</v>
      </c>
      <c r="D222" s="69" t="s">
        <v>95</v>
      </c>
      <c r="E222" s="70" t="s">
        <v>3</v>
      </c>
      <c r="F222" s="73">
        <f>7092.8-19.3</f>
        <v>7073.5</v>
      </c>
      <c r="G222" s="73">
        <v>7064.7</v>
      </c>
    </row>
    <row r="223" spans="1:7" ht="31.5">
      <c r="A223" s="69" t="s">
        <v>25</v>
      </c>
      <c r="B223" s="69" t="s">
        <v>67</v>
      </c>
      <c r="C223" s="69" t="s">
        <v>247</v>
      </c>
      <c r="D223" s="69" t="s">
        <v>96</v>
      </c>
      <c r="E223" s="70" t="s">
        <v>329</v>
      </c>
      <c r="F223" s="73">
        <f>1600.7+3.1</f>
        <v>1603.8</v>
      </c>
      <c r="G223" s="73">
        <v>1599.8</v>
      </c>
    </row>
    <row r="224" spans="1:7" ht="12.75">
      <c r="A224" s="69" t="s">
        <v>25</v>
      </c>
      <c r="B224" s="69" t="s">
        <v>67</v>
      </c>
      <c r="C224" s="69" t="s">
        <v>247</v>
      </c>
      <c r="D224" s="69" t="s">
        <v>97</v>
      </c>
      <c r="E224" s="70" t="s">
        <v>98</v>
      </c>
      <c r="F224" s="73">
        <f>93.9-3.1</f>
        <v>90.80000000000001</v>
      </c>
      <c r="G224" s="73">
        <v>90</v>
      </c>
    </row>
    <row r="225" spans="1:7" ht="47.25">
      <c r="A225" s="69" t="s">
        <v>25</v>
      </c>
      <c r="B225" s="69" t="s">
        <v>67</v>
      </c>
      <c r="C225" s="69" t="s">
        <v>613</v>
      </c>
      <c r="D225" s="69"/>
      <c r="E225" s="70" t="s">
        <v>624</v>
      </c>
      <c r="F225" s="73">
        <f>F226</f>
        <v>19.3</v>
      </c>
      <c r="G225" s="73">
        <f aca="true" t="shared" si="99" ref="G225">G226</f>
        <v>19.3</v>
      </c>
    </row>
    <row r="226" spans="1:7" ht="78.75">
      <c r="A226" s="69" t="s">
        <v>25</v>
      </c>
      <c r="B226" s="69" t="s">
        <v>67</v>
      </c>
      <c r="C226" s="69" t="s">
        <v>613</v>
      </c>
      <c r="D226" s="69" t="s">
        <v>95</v>
      </c>
      <c r="E226" s="70" t="s">
        <v>3</v>
      </c>
      <c r="F226" s="73">
        <v>19.3</v>
      </c>
      <c r="G226" s="73">
        <v>19.3</v>
      </c>
    </row>
    <row r="227" spans="1:7" ht="47.25">
      <c r="A227" s="69" t="s">
        <v>25</v>
      </c>
      <c r="B227" s="69" t="s">
        <v>67</v>
      </c>
      <c r="C227" s="69" t="s">
        <v>621</v>
      </c>
      <c r="D227" s="69" t="s">
        <v>93</v>
      </c>
      <c r="E227" s="70" t="s">
        <v>622</v>
      </c>
      <c r="F227" s="73">
        <f>F228</f>
        <v>70</v>
      </c>
      <c r="G227" s="73">
        <f aca="true" t="shared" si="100" ref="G227">G228</f>
        <v>70</v>
      </c>
    </row>
    <row r="228" spans="1:7" ht="31.5">
      <c r="A228" s="69" t="s">
        <v>25</v>
      </c>
      <c r="B228" s="69" t="s">
        <v>67</v>
      </c>
      <c r="C228" s="69" t="s">
        <v>621</v>
      </c>
      <c r="D228" s="69" t="s">
        <v>96</v>
      </c>
      <c r="E228" s="70" t="s">
        <v>329</v>
      </c>
      <c r="F228" s="73">
        <v>70</v>
      </c>
      <c r="G228" s="73">
        <v>70</v>
      </c>
    </row>
    <row r="229" spans="1:7" ht="31.5">
      <c r="A229" s="61" t="s">
        <v>25</v>
      </c>
      <c r="B229" s="61" t="s">
        <v>67</v>
      </c>
      <c r="C229" s="62" t="s">
        <v>481</v>
      </c>
      <c r="D229" s="256"/>
      <c r="E229" s="48" t="s">
        <v>482</v>
      </c>
      <c r="F229" s="73">
        <f>F234+F236+F238+F242+F232+F244+F230+F240</f>
        <v>15715.3</v>
      </c>
      <c r="G229" s="73">
        <f aca="true" t="shared" si="101" ref="G229">G234+G236+G238+G242+G232+G244+G230+G240</f>
        <v>15715.300000000001</v>
      </c>
    </row>
    <row r="230" spans="1:7" ht="47.25">
      <c r="A230" s="61" t="s">
        <v>25</v>
      </c>
      <c r="B230" s="61" t="s">
        <v>67</v>
      </c>
      <c r="C230" s="62" t="s">
        <v>619</v>
      </c>
      <c r="D230" s="256"/>
      <c r="E230" s="68" t="s">
        <v>620</v>
      </c>
      <c r="F230" s="73">
        <f>F231</f>
        <v>99</v>
      </c>
      <c r="G230" s="73">
        <f aca="true" t="shared" si="102" ref="G230">G231</f>
        <v>99</v>
      </c>
    </row>
    <row r="231" spans="1:7" ht="31.5">
      <c r="A231" s="61" t="s">
        <v>25</v>
      </c>
      <c r="B231" s="61" t="s">
        <v>67</v>
      </c>
      <c r="C231" s="62" t="s">
        <v>619</v>
      </c>
      <c r="D231" s="256">
        <v>600</v>
      </c>
      <c r="E231" s="48" t="s">
        <v>117</v>
      </c>
      <c r="F231" s="73">
        <v>99</v>
      </c>
      <c r="G231" s="73">
        <v>99</v>
      </c>
    </row>
    <row r="232" spans="1:7" ht="47.25">
      <c r="A232" s="61" t="s">
        <v>25</v>
      </c>
      <c r="B232" s="61" t="s">
        <v>67</v>
      </c>
      <c r="C232" s="62" t="s">
        <v>614</v>
      </c>
      <c r="D232" s="256"/>
      <c r="E232" s="70" t="s">
        <v>617</v>
      </c>
      <c r="F232" s="73">
        <f>F233</f>
        <v>1469.2</v>
      </c>
      <c r="G232" s="73">
        <f aca="true" t="shared" si="103" ref="G232">G233</f>
        <v>1469.2</v>
      </c>
    </row>
    <row r="233" spans="1:7" ht="31.5">
      <c r="A233" s="61" t="s">
        <v>25</v>
      </c>
      <c r="B233" s="61" t="s">
        <v>67</v>
      </c>
      <c r="C233" s="62" t="s">
        <v>614</v>
      </c>
      <c r="D233" s="256">
        <v>600</v>
      </c>
      <c r="E233" s="48" t="s">
        <v>117</v>
      </c>
      <c r="F233" s="73">
        <v>1469.2</v>
      </c>
      <c r="G233" s="73">
        <v>1469.2</v>
      </c>
    </row>
    <row r="234" spans="1:7" ht="31.5">
      <c r="A234" s="61" t="s">
        <v>25</v>
      </c>
      <c r="B234" s="61" t="s">
        <v>67</v>
      </c>
      <c r="C234" s="62" t="s">
        <v>244</v>
      </c>
      <c r="D234" s="62"/>
      <c r="E234" s="68" t="s">
        <v>152</v>
      </c>
      <c r="F234" s="73">
        <f>F235</f>
        <v>13320.099999999999</v>
      </c>
      <c r="G234" s="73">
        <f aca="true" t="shared" si="104" ref="G234">G235</f>
        <v>13320.1</v>
      </c>
    </row>
    <row r="235" spans="1:7" ht="31.5">
      <c r="A235" s="61" t="s">
        <v>25</v>
      </c>
      <c r="B235" s="61" t="s">
        <v>67</v>
      </c>
      <c r="C235" s="62" t="s">
        <v>244</v>
      </c>
      <c r="D235" s="256">
        <v>600</v>
      </c>
      <c r="E235" s="48" t="s">
        <v>117</v>
      </c>
      <c r="F235" s="73">
        <f>13331.3-14.7+3.5</f>
        <v>13320.099999999999</v>
      </c>
      <c r="G235" s="73">
        <v>13320.1</v>
      </c>
    </row>
    <row r="236" spans="1:7" ht="63">
      <c r="A236" s="61" t="s">
        <v>25</v>
      </c>
      <c r="B236" s="61" t="s">
        <v>67</v>
      </c>
      <c r="C236" s="62" t="s">
        <v>544</v>
      </c>
      <c r="D236" s="256"/>
      <c r="E236" s="68" t="s">
        <v>545</v>
      </c>
      <c r="F236" s="73">
        <f>F237</f>
        <v>527</v>
      </c>
      <c r="G236" s="73">
        <f aca="true" t="shared" si="105" ref="G236">G237</f>
        <v>527</v>
      </c>
    </row>
    <row r="237" spans="1:7" ht="31.5">
      <c r="A237" s="61" t="s">
        <v>25</v>
      </c>
      <c r="B237" s="61" t="s">
        <v>67</v>
      </c>
      <c r="C237" s="62" t="s">
        <v>544</v>
      </c>
      <c r="D237" s="256">
        <v>600</v>
      </c>
      <c r="E237" s="48" t="s">
        <v>117</v>
      </c>
      <c r="F237" s="73">
        <v>527</v>
      </c>
      <c r="G237" s="73">
        <v>527</v>
      </c>
    </row>
    <row r="238" spans="1:7" ht="31.5">
      <c r="A238" s="61" t="s">
        <v>25</v>
      </c>
      <c r="B238" s="61" t="s">
        <v>67</v>
      </c>
      <c r="C238" s="62" t="s">
        <v>546</v>
      </c>
      <c r="D238" s="256"/>
      <c r="E238" s="68" t="s">
        <v>547</v>
      </c>
      <c r="F238" s="73">
        <f>F239</f>
        <v>32</v>
      </c>
      <c r="G238" s="73">
        <f aca="true" t="shared" si="106" ref="G238">G239</f>
        <v>32</v>
      </c>
    </row>
    <row r="239" spans="1:7" ht="31.5">
      <c r="A239" s="61" t="s">
        <v>25</v>
      </c>
      <c r="B239" s="61" t="s">
        <v>67</v>
      </c>
      <c r="C239" s="62" t="s">
        <v>546</v>
      </c>
      <c r="D239" s="256">
        <v>600</v>
      </c>
      <c r="E239" s="48" t="s">
        <v>117</v>
      </c>
      <c r="F239" s="73">
        <v>32</v>
      </c>
      <c r="G239" s="73">
        <v>32</v>
      </c>
    </row>
    <row r="240" spans="1:7" ht="63">
      <c r="A240" s="61" t="s">
        <v>25</v>
      </c>
      <c r="B240" s="61" t="s">
        <v>67</v>
      </c>
      <c r="C240" s="62" t="s">
        <v>654</v>
      </c>
      <c r="D240" s="256"/>
      <c r="E240" s="68" t="s">
        <v>655</v>
      </c>
      <c r="F240" s="73">
        <f>F241</f>
        <v>252.3</v>
      </c>
      <c r="G240" s="73">
        <f aca="true" t="shared" si="107" ref="G240">G241</f>
        <v>252.3</v>
      </c>
    </row>
    <row r="241" spans="1:7" ht="31.5">
      <c r="A241" s="61" t="s">
        <v>25</v>
      </c>
      <c r="B241" s="61" t="s">
        <v>67</v>
      </c>
      <c r="C241" s="62" t="s">
        <v>654</v>
      </c>
      <c r="D241" s="256">
        <v>600</v>
      </c>
      <c r="E241" s="48" t="s">
        <v>117</v>
      </c>
      <c r="F241" s="73">
        <v>252.3</v>
      </c>
      <c r="G241" s="73">
        <v>252.3</v>
      </c>
    </row>
    <row r="242" spans="1:7" ht="31.5">
      <c r="A242" s="61" t="s">
        <v>25</v>
      </c>
      <c r="B242" s="61" t="s">
        <v>67</v>
      </c>
      <c r="C242" s="62" t="s">
        <v>548</v>
      </c>
      <c r="D242" s="256"/>
      <c r="E242" s="68" t="s">
        <v>549</v>
      </c>
      <c r="F242" s="73">
        <f>F243</f>
        <v>1</v>
      </c>
      <c r="G242" s="73">
        <f aca="true" t="shared" si="108" ref="G242">G243</f>
        <v>1</v>
      </c>
    </row>
    <row r="243" spans="1:7" ht="31.5">
      <c r="A243" s="61" t="s">
        <v>25</v>
      </c>
      <c r="B243" s="61" t="s">
        <v>67</v>
      </c>
      <c r="C243" s="62" t="s">
        <v>548</v>
      </c>
      <c r="D243" s="256">
        <v>600</v>
      </c>
      <c r="E243" s="48" t="s">
        <v>117</v>
      </c>
      <c r="F243" s="73">
        <v>1</v>
      </c>
      <c r="G243" s="73">
        <v>1</v>
      </c>
    </row>
    <row r="244" spans="1:7" ht="47.25">
      <c r="A244" s="61" t="s">
        <v>25</v>
      </c>
      <c r="B244" s="61" t="s">
        <v>67</v>
      </c>
      <c r="C244" s="62" t="s">
        <v>615</v>
      </c>
      <c r="D244" s="256"/>
      <c r="E244" s="70" t="s">
        <v>624</v>
      </c>
      <c r="F244" s="73">
        <f>F245</f>
        <v>14.7</v>
      </c>
      <c r="G244" s="73">
        <f aca="true" t="shared" si="109" ref="G244">G245</f>
        <v>14.7</v>
      </c>
    </row>
    <row r="245" spans="1:7" ht="31.5">
      <c r="A245" s="61" t="s">
        <v>25</v>
      </c>
      <c r="B245" s="61" t="s">
        <v>67</v>
      </c>
      <c r="C245" s="62" t="s">
        <v>615</v>
      </c>
      <c r="D245" s="256">
        <v>600</v>
      </c>
      <c r="E245" s="48" t="s">
        <v>117</v>
      </c>
      <c r="F245" s="73">
        <v>14.7</v>
      </c>
      <c r="G245" s="73">
        <v>14.7</v>
      </c>
    </row>
    <row r="246" spans="1:7" ht="31.5">
      <c r="A246" s="69" t="s">
        <v>25</v>
      </c>
      <c r="B246" s="69" t="s">
        <v>67</v>
      </c>
      <c r="C246" s="69" t="s">
        <v>394</v>
      </c>
      <c r="D246" s="81" t="s">
        <v>93</v>
      </c>
      <c r="E246" s="70" t="s">
        <v>395</v>
      </c>
      <c r="F246" s="73">
        <f>F247</f>
        <v>32.1</v>
      </c>
      <c r="G246" s="73">
        <f aca="true" t="shared" si="110" ref="G246">G247</f>
        <v>32.1</v>
      </c>
    </row>
    <row r="247" spans="1:7" ht="63">
      <c r="A247" s="69" t="s">
        <v>25</v>
      </c>
      <c r="B247" s="69" t="s">
        <v>67</v>
      </c>
      <c r="C247" s="69" t="s">
        <v>245</v>
      </c>
      <c r="D247" s="69" t="s">
        <v>93</v>
      </c>
      <c r="E247" s="70" t="s">
        <v>396</v>
      </c>
      <c r="F247" s="73">
        <f>F248</f>
        <v>32.1</v>
      </c>
      <c r="G247" s="73">
        <f aca="true" t="shared" si="111" ref="G247">G248</f>
        <v>32.1</v>
      </c>
    </row>
    <row r="248" spans="1:7" ht="31.5">
      <c r="A248" s="69" t="s">
        <v>25</v>
      </c>
      <c r="B248" s="69" t="s">
        <v>67</v>
      </c>
      <c r="C248" s="69" t="s">
        <v>245</v>
      </c>
      <c r="D248" s="69" t="s">
        <v>397</v>
      </c>
      <c r="E248" s="70" t="s">
        <v>398</v>
      </c>
      <c r="F248" s="73">
        <v>32.1</v>
      </c>
      <c r="G248" s="73">
        <v>32.1</v>
      </c>
    </row>
    <row r="249" spans="1:7" ht="12.75">
      <c r="A249" s="69" t="s">
        <v>25</v>
      </c>
      <c r="B249" s="69" t="s">
        <v>67</v>
      </c>
      <c r="C249" s="63">
        <v>9900000000</v>
      </c>
      <c r="D249" s="78"/>
      <c r="E249" s="65" t="s">
        <v>487</v>
      </c>
      <c r="F249" s="73">
        <f>F250</f>
        <v>569.6</v>
      </c>
      <c r="G249" s="73">
        <f aca="true" t="shared" si="112" ref="G249:G250">G250</f>
        <v>569.6</v>
      </c>
    </row>
    <row r="250" spans="1:7" ht="47.25">
      <c r="A250" s="69" t="s">
        <v>25</v>
      </c>
      <c r="B250" s="69" t="s">
        <v>67</v>
      </c>
      <c r="C250" s="63">
        <v>9950000000</v>
      </c>
      <c r="D250" s="15"/>
      <c r="E250" s="48" t="s">
        <v>602</v>
      </c>
      <c r="F250" s="73">
        <f>F251</f>
        <v>569.6</v>
      </c>
      <c r="G250" s="73">
        <f t="shared" si="112"/>
        <v>569.6</v>
      </c>
    </row>
    <row r="251" spans="1:7" ht="47.25">
      <c r="A251" s="69" t="s">
        <v>25</v>
      </c>
      <c r="B251" s="69" t="s">
        <v>67</v>
      </c>
      <c r="C251" s="63" t="s">
        <v>603</v>
      </c>
      <c r="D251" s="15"/>
      <c r="E251" s="48" t="s">
        <v>604</v>
      </c>
      <c r="F251" s="73">
        <f>F252+F253</f>
        <v>569.6</v>
      </c>
      <c r="G251" s="73">
        <f aca="true" t="shared" si="113" ref="G251">G252+G253</f>
        <v>569.6</v>
      </c>
    </row>
    <row r="252" spans="1:7" ht="31.5">
      <c r="A252" s="69" t="s">
        <v>25</v>
      </c>
      <c r="B252" s="69" t="s">
        <v>67</v>
      </c>
      <c r="C252" s="63" t="s">
        <v>603</v>
      </c>
      <c r="D252" s="69" t="s">
        <v>96</v>
      </c>
      <c r="E252" s="70" t="s">
        <v>329</v>
      </c>
      <c r="F252" s="73">
        <v>30</v>
      </c>
      <c r="G252" s="73">
        <v>30</v>
      </c>
    </row>
    <row r="253" spans="1:7" ht="31.5">
      <c r="A253" s="69" t="s">
        <v>25</v>
      </c>
      <c r="B253" s="69" t="s">
        <v>67</v>
      </c>
      <c r="C253" s="63" t="s">
        <v>603</v>
      </c>
      <c r="D253" s="256">
        <v>600</v>
      </c>
      <c r="E253" s="48" t="s">
        <v>117</v>
      </c>
      <c r="F253" s="73">
        <v>539.6</v>
      </c>
      <c r="G253" s="73">
        <v>539.6</v>
      </c>
    </row>
    <row r="254" spans="1:7" ht="12.75">
      <c r="A254" s="69" t="s">
        <v>25</v>
      </c>
      <c r="B254" s="69" t="s">
        <v>64</v>
      </c>
      <c r="C254" s="69" t="s">
        <v>93</v>
      </c>
      <c r="D254" s="69" t="s">
        <v>93</v>
      </c>
      <c r="E254" s="68" t="s">
        <v>56</v>
      </c>
      <c r="F254" s="73">
        <f>F255+F262</f>
        <v>2001.3</v>
      </c>
      <c r="G254" s="73">
        <f aca="true" t="shared" si="114" ref="G254">G255+G262</f>
        <v>1864.4</v>
      </c>
    </row>
    <row r="255" spans="1:7" ht="12.75">
      <c r="A255" s="69" t="s">
        <v>25</v>
      </c>
      <c r="B255" s="69" t="s">
        <v>80</v>
      </c>
      <c r="C255" s="69" t="s">
        <v>93</v>
      </c>
      <c r="D255" s="69" t="s">
        <v>93</v>
      </c>
      <c r="E255" s="70" t="s">
        <v>57</v>
      </c>
      <c r="F255" s="73">
        <f>F256</f>
        <v>1313.3</v>
      </c>
      <c r="G255" s="73">
        <f aca="true" t="shared" si="115" ref="G255:G258">G256</f>
        <v>1207.4</v>
      </c>
    </row>
    <row r="256" spans="1:7" ht="47.25">
      <c r="A256" s="69" t="s">
        <v>25</v>
      </c>
      <c r="B256" s="69" t="s">
        <v>80</v>
      </c>
      <c r="C256" s="69" t="s">
        <v>199</v>
      </c>
      <c r="D256" s="69" t="s">
        <v>93</v>
      </c>
      <c r="E256" s="70" t="s">
        <v>326</v>
      </c>
      <c r="F256" s="73">
        <f>F257</f>
        <v>1313.3</v>
      </c>
      <c r="G256" s="73">
        <f t="shared" si="115"/>
        <v>1207.4</v>
      </c>
    </row>
    <row r="257" spans="1:7" ht="31.5">
      <c r="A257" s="69" t="s">
        <v>25</v>
      </c>
      <c r="B257" s="69" t="s">
        <v>80</v>
      </c>
      <c r="C257" s="69" t="s">
        <v>248</v>
      </c>
      <c r="D257" s="69" t="s">
        <v>93</v>
      </c>
      <c r="E257" s="70" t="s">
        <v>153</v>
      </c>
      <c r="F257" s="73">
        <f>F258</f>
        <v>1313.3</v>
      </c>
      <c r="G257" s="73">
        <f t="shared" si="115"/>
        <v>1207.4</v>
      </c>
    </row>
    <row r="258" spans="1:7" ht="47.25">
      <c r="A258" s="69" t="s">
        <v>25</v>
      </c>
      <c r="B258" s="69" t="s">
        <v>80</v>
      </c>
      <c r="C258" s="69" t="s">
        <v>399</v>
      </c>
      <c r="D258" s="81" t="s">
        <v>93</v>
      </c>
      <c r="E258" s="70" t="s">
        <v>400</v>
      </c>
      <c r="F258" s="73">
        <f>F259</f>
        <v>1313.3</v>
      </c>
      <c r="G258" s="73">
        <f t="shared" si="115"/>
        <v>1207.4</v>
      </c>
    </row>
    <row r="259" spans="1:7" ht="63">
      <c r="A259" s="69" t="s">
        <v>25</v>
      </c>
      <c r="B259" s="69" t="s">
        <v>80</v>
      </c>
      <c r="C259" s="69" t="s">
        <v>249</v>
      </c>
      <c r="D259" s="69" t="s">
        <v>93</v>
      </c>
      <c r="E259" s="70" t="s">
        <v>94</v>
      </c>
      <c r="F259" s="73">
        <f>F261+F260</f>
        <v>1313.3</v>
      </c>
      <c r="G259" s="73">
        <f aca="true" t="shared" si="116" ref="G259">G261+G260</f>
        <v>1207.4</v>
      </c>
    </row>
    <row r="260" spans="1:7" ht="31.5">
      <c r="A260" s="69" t="s">
        <v>25</v>
      </c>
      <c r="B260" s="69" t="s">
        <v>80</v>
      </c>
      <c r="C260" s="69" t="s">
        <v>249</v>
      </c>
      <c r="D260" s="69" t="s">
        <v>96</v>
      </c>
      <c r="E260" s="70" t="s">
        <v>329</v>
      </c>
      <c r="F260" s="73">
        <v>105.9</v>
      </c>
      <c r="G260" s="73">
        <v>0</v>
      </c>
    </row>
    <row r="261" spans="1:7" ht="12.75">
      <c r="A261" s="69" t="s">
        <v>25</v>
      </c>
      <c r="B261" s="69" t="s">
        <v>80</v>
      </c>
      <c r="C261" s="69" t="s">
        <v>249</v>
      </c>
      <c r="D261" s="69" t="s">
        <v>100</v>
      </c>
      <c r="E261" s="70" t="s">
        <v>101</v>
      </c>
      <c r="F261" s="73">
        <f>1773.5-105.9-460.2</f>
        <v>1207.3999999999999</v>
      </c>
      <c r="G261" s="73">
        <v>1207.4</v>
      </c>
    </row>
    <row r="262" spans="1:7" ht="12.75">
      <c r="A262" s="69" t="s">
        <v>25</v>
      </c>
      <c r="B262" s="69" t="s">
        <v>65</v>
      </c>
      <c r="C262" s="69" t="s">
        <v>93</v>
      </c>
      <c r="D262" s="69" t="s">
        <v>93</v>
      </c>
      <c r="E262" s="70" t="s">
        <v>59</v>
      </c>
      <c r="F262" s="73">
        <f>F263</f>
        <v>688</v>
      </c>
      <c r="G262" s="73">
        <f aca="true" t="shared" si="117" ref="G262">G263</f>
        <v>657</v>
      </c>
    </row>
    <row r="263" spans="1:7" ht="47.25">
      <c r="A263" s="69" t="s">
        <v>25</v>
      </c>
      <c r="B263" s="69" t="s">
        <v>65</v>
      </c>
      <c r="C263" s="69" t="s">
        <v>199</v>
      </c>
      <c r="D263" s="69" t="s">
        <v>93</v>
      </c>
      <c r="E263" s="70" t="s">
        <v>326</v>
      </c>
      <c r="F263" s="73">
        <f>F264+F268</f>
        <v>688</v>
      </c>
      <c r="G263" s="73">
        <f aca="true" t="shared" si="118" ref="G263">G264+G268</f>
        <v>657</v>
      </c>
    </row>
    <row r="264" spans="1:7" ht="63">
      <c r="A264" s="69" t="s">
        <v>25</v>
      </c>
      <c r="B264" s="69" t="s">
        <v>65</v>
      </c>
      <c r="C264" s="69" t="s">
        <v>212</v>
      </c>
      <c r="D264" s="69" t="s">
        <v>93</v>
      </c>
      <c r="E264" s="70" t="s">
        <v>154</v>
      </c>
      <c r="F264" s="73">
        <f>F265</f>
        <v>408</v>
      </c>
      <c r="G264" s="73">
        <f aca="true" t="shared" si="119" ref="G264:G265">G265</f>
        <v>385</v>
      </c>
    </row>
    <row r="265" spans="1:7" ht="63">
      <c r="A265" s="69" t="s">
        <v>25</v>
      </c>
      <c r="B265" s="69" t="s">
        <v>65</v>
      </c>
      <c r="C265" s="69" t="s">
        <v>344</v>
      </c>
      <c r="D265" s="81" t="s">
        <v>93</v>
      </c>
      <c r="E265" s="70" t="s">
        <v>345</v>
      </c>
      <c r="F265" s="73">
        <f>F266</f>
        <v>408</v>
      </c>
      <c r="G265" s="73">
        <f t="shared" si="119"/>
        <v>385</v>
      </c>
    </row>
    <row r="266" spans="1:7" ht="47.25">
      <c r="A266" s="69" t="s">
        <v>25</v>
      </c>
      <c r="B266" s="69" t="s">
        <v>65</v>
      </c>
      <c r="C266" s="69" t="s">
        <v>250</v>
      </c>
      <c r="D266" s="69" t="s">
        <v>93</v>
      </c>
      <c r="E266" s="70" t="s">
        <v>401</v>
      </c>
      <c r="F266" s="73">
        <f>F267</f>
        <v>408</v>
      </c>
      <c r="G266" s="73">
        <f aca="true" t="shared" si="120" ref="G266">G267</f>
        <v>385</v>
      </c>
    </row>
    <row r="267" spans="1:7" ht="31.5">
      <c r="A267" s="69" t="s">
        <v>25</v>
      </c>
      <c r="B267" s="69" t="s">
        <v>65</v>
      </c>
      <c r="C267" s="69" t="s">
        <v>250</v>
      </c>
      <c r="D267" s="69" t="s">
        <v>397</v>
      </c>
      <c r="E267" s="70" t="s">
        <v>398</v>
      </c>
      <c r="F267" s="73">
        <v>408</v>
      </c>
      <c r="G267" s="73">
        <v>385</v>
      </c>
    </row>
    <row r="268" spans="1:7" ht="31.5">
      <c r="A268" s="69" t="s">
        <v>25</v>
      </c>
      <c r="B268" s="69" t="s">
        <v>65</v>
      </c>
      <c r="C268" s="69" t="s">
        <v>248</v>
      </c>
      <c r="D268" s="69" t="s">
        <v>93</v>
      </c>
      <c r="E268" s="70" t="s">
        <v>153</v>
      </c>
      <c r="F268" s="73">
        <f>F269+F273</f>
        <v>280</v>
      </c>
      <c r="G268" s="73">
        <f aca="true" t="shared" si="121" ref="G268">G269+G273</f>
        <v>272</v>
      </c>
    </row>
    <row r="269" spans="1:7" ht="47.25">
      <c r="A269" s="69" t="s">
        <v>25</v>
      </c>
      <c r="B269" s="69" t="s">
        <v>65</v>
      </c>
      <c r="C269" s="69" t="s">
        <v>399</v>
      </c>
      <c r="D269" s="81" t="s">
        <v>93</v>
      </c>
      <c r="E269" s="70" t="s">
        <v>400</v>
      </c>
      <c r="F269" s="73">
        <f>F270</f>
        <v>121</v>
      </c>
      <c r="G269" s="73">
        <f aca="true" t="shared" si="122" ref="G269">G270</f>
        <v>113</v>
      </c>
    </row>
    <row r="270" spans="1:7" ht="47.25">
      <c r="A270" s="69" t="s">
        <v>25</v>
      </c>
      <c r="B270" s="69" t="s">
        <v>65</v>
      </c>
      <c r="C270" s="69" t="s">
        <v>252</v>
      </c>
      <c r="D270" s="69" t="s">
        <v>93</v>
      </c>
      <c r="E270" s="70" t="s">
        <v>402</v>
      </c>
      <c r="F270" s="73">
        <f>F272+F271</f>
        <v>121</v>
      </c>
      <c r="G270" s="73">
        <f aca="true" t="shared" si="123" ref="G270">G272+G271</f>
        <v>113</v>
      </c>
    </row>
    <row r="271" spans="1:7" ht="31.5">
      <c r="A271" s="69" t="s">
        <v>25</v>
      </c>
      <c r="B271" s="69" t="s">
        <v>65</v>
      </c>
      <c r="C271" s="69" t="s">
        <v>252</v>
      </c>
      <c r="D271" s="69" t="s">
        <v>96</v>
      </c>
      <c r="E271" s="70" t="s">
        <v>329</v>
      </c>
      <c r="F271" s="73">
        <v>6.8</v>
      </c>
      <c r="G271" s="73">
        <v>0</v>
      </c>
    </row>
    <row r="272" spans="1:7" ht="12.75">
      <c r="A272" s="69" t="s">
        <v>25</v>
      </c>
      <c r="B272" s="69" t="s">
        <v>65</v>
      </c>
      <c r="C272" s="69" t="s">
        <v>252</v>
      </c>
      <c r="D272" s="69" t="s">
        <v>100</v>
      </c>
      <c r="E272" s="70" t="s">
        <v>101</v>
      </c>
      <c r="F272" s="73">
        <f>121-6.8</f>
        <v>114.2</v>
      </c>
      <c r="G272" s="73">
        <v>113</v>
      </c>
    </row>
    <row r="273" spans="1:7" ht="78.75">
      <c r="A273" s="69" t="s">
        <v>25</v>
      </c>
      <c r="B273" s="69" t="s">
        <v>65</v>
      </c>
      <c r="C273" s="69" t="s">
        <v>403</v>
      </c>
      <c r="D273" s="81" t="s">
        <v>93</v>
      </c>
      <c r="E273" s="70" t="s">
        <v>404</v>
      </c>
      <c r="F273" s="73">
        <f>F274</f>
        <v>159</v>
      </c>
      <c r="G273" s="73">
        <f aca="true" t="shared" si="124" ref="G273:G274">G274</f>
        <v>159</v>
      </c>
    </row>
    <row r="274" spans="1:7" ht="31.5">
      <c r="A274" s="69" t="s">
        <v>25</v>
      </c>
      <c r="B274" s="69" t="s">
        <v>65</v>
      </c>
      <c r="C274" s="69" t="s">
        <v>251</v>
      </c>
      <c r="D274" s="69" t="s">
        <v>93</v>
      </c>
      <c r="E274" s="70" t="s">
        <v>195</v>
      </c>
      <c r="F274" s="73">
        <f>F275</f>
        <v>159</v>
      </c>
      <c r="G274" s="73">
        <f t="shared" si="124"/>
        <v>159</v>
      </c>
    </row>
    <row r="275" spans="1:7" ht="12.75">
      <c r="A275" s="69" t="s">
        <v>25</v>
      </c>
      <c r="B275" s="69" t="s">
        <v>65</v>
      </c>
      <c r="C275" s="69" t="s">
        <v>251</v>
      </c>
      <c r="D275" s="69" t="s">
        <v>100</v>
      </c>
      <c r="E275" s="70" t="s">
        <v>101</v>
      </c>
      <c r="F275" s="73">
        <f>212.7-53.7</f>
        <v>159</v>
      </c>
      <c r="G275" s="73">
        <v>159</v>
      </c>
    </row>
    <row r="276" spans="1:7" ht="12.75">
      <c r="A276" s="69" t="s">
        <v>25</v>
      </c>
      <c r="B276" s="69" t="s">
        <v>321</v>
      </c>
      <c r="C276" s="69" t="s">
        <v>93</v>
      </c>
      <c r="D276" s="69" t="s">
        <v>93</v>
      </c>
      <c r="E276" s="48" t="s">
        <v>90</v>
      </c>
      <c r="F276" s="73">
        <f>F277</f>
        <v>2554.5</v>
      </c>
      <c r="G276" s="73">
        <f aca="true" t="shared" si="125" ref="G276">G277</f>
        <v>2554.5</v>
      </c>
    </row>
    <row r="277" spans="1:7" ht="31.5">
      <c r="A277" s="69" t="s">
        <v>25</v>
      </c>
      <c r="B277" s="69" t="s">
        <v>91</v>
      </c>
      <c r="C277" s="69" t="s">
        <v>93</v>
      </c>
      <c r="D277" s="69" t="s">
        <v>93</v>
      </c>
      <c r="E277" s="70" t="s">
        <v>92</v>
      </c>
      <c r="F277" s="73">
        <f>F278</f>
        <v>2554.5</v>
      </c>
      <c r="G277" s="73">
        <f aca="true" t="shared" si="126" ref="G277:G279">G278</f>
        <v>2554.5</v>
      </c>
    </row>
    <row r="278" spans="1:7" ht="47.25">
      <c r="A278" s="69" t="s">
        <v>25</v>
      </c>
      <c r="B278" s="69" t="s">
        <v>91</v>
      </c>
      <c r="C278" s="69" t="s">
        <v>199</v>
      </c>
      <c r="D278" s="69" t="s">
        <v>93</v>
      </c>
      <c r="E278" s="70" t="s">
        <v>326</v>
      </c>
      <c r="F278" s="73">
        <f>F279</f>
        <v>2554.5</v>
      </c>
      <c r="G278" s="73">
        <f t="shared" si="126"/>
        <v>2554.5</v>
      </c>
    </row>
    <row r="279" spans="1:7" ht="63">
      <c r="A279" s="69" t="s">
        <v>25</v>
      </c>
      <c r="B279" s="69" t="s">
        <v>91</v>
      </c>
      <c r="C279" s="69" t="s">
        <v>212</v>
      </c>
      <c r="D279" s="69" t="s">
        <v>93</v>
      </c>
      <c r="E279" s="70" t="s">
        <v>154</v>
      </c>
      <c r="F279" s="73">
        <f>F280</f>
        <v>2554.5</v>
      </c>
      <c r="G279" s="73">
        <f t="shared" si="126"/>
        <v>2554.5</v>
      </c>
    </row>
    <row r="280" spans="1:7" ht="47.25">
      <c r="A280" s="69" t="s">
        <v>25</v>
      </c>
      <c r="B280" s="69" t="s">
        <v>91</v>
      </c>
      <c r="C280" s="69" t="s">
        <v>405</v>
      </c>
      <c r="D280" s="81" t="s">
        <v>93</v>
      </c>
      <c r="E280" s="70" t="s">
        <v>406</v>
      </c>
      <c r="F280" s="73">
        <f>F283+F285+F287+F281</f>
        <v>2554.5</v>
      </c>
      <c r="G280" s="73">
        <f aca="true" t="shared" si="127" ref="G280">G283+G285+G287+G281</f>
        <v>2554.5</v>
      </c>
    </row>
    <row r="281" spans="1:7" ht="94.5">
      <c r="A281" s="61" t="s">
        <v>25</v>
      </c>
      <c r="B281" s="61" t="s">
        <v>91</v>
      </c>
      <c r="C281" s="14" t="s">
        <v>564</v>
      </c>
      <c r="D281" s="256"/>
      <c r="E281" s="48" t="s">
        <v>565</v>
      </c>
      <c r="F281" s="73">
        <f>F282</f>
        <v>485.9</v>
      </c>
      <c r="G281" s="73">
        <f aca="true" t="shared" si="128" ref="G281">G282</f>
        <v>485.9</v>
      </c>
    </row>
    <row r="282" spans="1:7" ht="12.75">
      <c r="A282" s="61" t="s">
        <v>25</v>
      </c>
      <c r="B282" s="61" t="s">
        <v>91</v>
      </c>
      <c r="C282" s="14" t="s">
        <v>564</v>
      </c>
      <c r="D282" s="256" t="s">
        <v>97</v>
      </c>
      <c r="E282" s="48" t="s">
        <v>98</v>
      </c>
      <c r="F282" s="73">
        <v>485.9</v>
      </c>
      <c r="G282" s="73">
        <v>485.9</v>
      </c>
    </row>
    <row r="283" spans="1:7" ht="94.5">
      <c r="A283" s="69" t="s">
        <v>25</v>
      </c>
      <c r="B283" s="69" t="s">
        <v>91</v>
      </c>
      <c r="C283" s="69" t="s">
        <v>253</v>
      </c>
      <c r="D283" s="69" t="s">
        <v>93</v>
      </c>
      <c r="E283" s="70" t="s">
        <v>407</v>
      </c>
      <c r="F283" s="73">
        <f>F284</f>
        <v>942.5</v>
      </c>
      <c r="G283" s="73">
        <f aca="true" t="shared" si="129" ref="G283">G284</f>
        <v>942.5</v>
      </c>
    </row>
    <row r="284" spans="1:7" ht="12.75">
      <c r="A284" s="69" t="s">
        <v>25</v>
      </c>
      <c r="B284" s="69" t="s">
        <v>91</v>
      </c>
      <c r="C284" s="69" t="s">
        <v>253</v>
      </c>
      <c r="D284" s="69" t="s">
        <v>97</v>
      </c>
      <c r="E284" s="70" t="s">
        <v>98</v>
      </c>
      <c r="F284" s="73">
        <v>942.5</v>
      </c>
      <c r="G284" s="73">
        <v>942.5</v>
      </c>
    </row>
    <row r="285" spans="1:7" ht="94.5">
      <c r="A285" s="69" t="s">
        <v>25</v>
      </c>
      <c r="B285" s="69" t="s">
        <v>91</v>
      </c>
      <c r="C285" s="69" t="s">
        <v>254</v>
      </c>
      <c r="D285" s="69" t="s">
        <v>93</v>
      </c>
      <c r="E285" s="70" t="s">
        <v>192</v>
      </c>
      <c r="F285" s="73">
        <f>F286</f>
        <v>489.6</v>
      </c>
      <c r="G285" s="73">
        <f aca="true" t="shared" si="130" ref="G285">G286</f>
        <v>489.6</v>
      </c>
    </row>
    <row r="286" spans="1:7" ht="12.75">
      <c r="A286" s="69" t="s">
        <v>25</v>
      </c>
      <c r="B286" s="69" t="s">
        <v>91</v>
      </c>
      <c r="C286" s="69" t="s">
        <v>254</v>
      </c>
      <c r="D286" s="69" t="s">
        <v>97</v>
      </c>
      <c r="E286" s="70" t="s">
        <v>98</v>
      </c>
      <c r="F286" s="73">
        <v>489.6</v>
      </c>
      <c r="G286" s="73">
        <v>489.6</v>
      </c>
    </row>
    <row r="287" spans="1:7" ht="78.75">
      <c r="A287" s="69" t="s">
        <v>25</v>
      </c>
      <c r="B287" s="69" t="s">
        <v>91</v>
      </c>
      <c r="C287" s="69" t="s">
        <v>408</v>
      </c>
      <c r="D287" s="69" t="s">
        <v>93</v>
      </c>
      <c r="E287" s="70" t="s">
        <v>409</v>
      </c>
      <c r="F287" s="73">
        <f>F288</f>
        <v>636.5</v>
      </c>
      <c r="G287" s="73">
        <f aca="true" t="shared" si="131" ref="G287">G288</f>
        <v>636.5</v>
      </c>
    </row>
    <row r="288" spans="1:7" ht="12.75">
      <c r="A288" s="69" t="s">
        <v>25</v>
      </c>
      <c r="B288" s="69" t="s">
        <v>91</v>
      </c>
      <c r="C288" s="69" t="s">
        <v>408</v>
      </c>
      <c r="D288" s="69" t="s">
        <v>97</v>
      </c>
      <c r="E288" s="70" t="s">
        <v>98</v>
      </c>
      <c r="F288" s="73">
        <v>636.5</v>
      </c>
      <c r="G288" s="73">
        <v>636.5</v>
      </c>
    </row>
    <row r="289" spans="1:7" ht="31.5">
      <c r="A289" s="258" t="s">
        <v>60</v>
      </c>
      <c r="B289" s="69" t="s">
        <v>93</v>
      </c>
      <c r="C289" s="81" t="s">
        <v>93</v>
      </c>
      <c r="D289" s="81" t="s">
        <v>93</v>
      </c>
      <c r="E289" s="259" t="s">
        <v>574</v>
      </c>
      <c r="F289" s="157">
        <f>F290+F314</f>
        <v>12589.2</v>
      </c>
      <c r="G289" s="157">
        <f>G290+G314</f>
        <v>10951.6</v>
      </c>
    </row>
    <row r="290" spans="1:7" ht="12.75">
      <c r="A290" s="69" t="s">
        <v>60</v>
      </c>
      <c r="B290" s="69" t="s">
        <v>81</v>
      </c>
      <c r="C290" s="69" t="s">
        <v>93</v>
      </c>
      <c r="D290" s="69" t="s">
        <v>93</v>
      </c>
      <c r="E290" s="59" t="s">
        <v>26</v>
      </c>
      <c r="F290" s="73">
        <f>F291+F299+F304</f>
        <v>12063.7</v>
      </c>
      <c r="G290" s="73">
        <f aca="true" t="shared" si="132" ref="G290">G291+G299+G304</f>
        <v>10431.4</v>
      </c>
    </row>
    <row r="291" spans="1:7" ht="47.25">
      <c r="A291" s="69" t="s">
        <v>60</v>
      </c>
      <c r="B291" s="69" t="s">
        <v>71</v>
      </c>
      <c r="C291" s="69" t="s">
        <v>93</v>
      </c>
      <c r="D291" s="69" t="s">
        <v>93</v>
      </c>
      <c r="E291" s="70" t="s">
        <v>12</v>
      </c>
      <c r="F291" s="73">
        <f>F292</f>
        <v>9521.5</v>
      </c>
      <c r="G291" s="73">
        <f aca="true" t="shared" si="133" ref="G291:G294">G292</f>
        <v>9521.1</v>
      </c>
    </row>
    <row r="292" spans="1:7" ht="47.25">
      <c r="A292" s="69" t="s">
        <v>60</v>
      </c>
      <c r="B292" s="69" t="s">
        <v>71</v>
      </c>
      <c r="C292" s="69" t="s">
        <v>255</v>
      </c>
      <c r="D292" s="69" t="s">
        <v>93</v>
      </c>
      <c r="E292" s="70" t="s">
        <v>410</v>
      </c>
      <c r="F292" s="73">
        <f>F293</f>
        <v>9521.5</v>
      </c>
      <c r="G292" s="73">
        <f t="shared" si="133"/>
        <v>9521.1</v>
      </c>
    </row>
    <row r="293" spans="1:7" ht="12.75">
      <c r="A293" s="69" t="s">
        <v>60</v>
      </c>
      <c r="B293" s="69" t="s">
        <v>71</v>
      </c>
      <c r="C293" s="69" t="s">
        <v>256</v>
      </c>
      <c r="D293" s="69" t="s">
        <v>93</v>
      </c>
      <c r="E293" s="70" t="s">
        <v>2</v>
      </c>
      <c r="F293" s="73">
        <f>F294</f>
        <v>9521.5</v>
      </c>
      <c r="G293" s="73">
        <f t="shared" si="133"/>
        <v>9521.1</v>
      </c>
    </row>
    <row r="294" spans="1:7" ht="12.75">
      <c r="A294" s="69" t="s">
        <v>60</v>
      </c>
      <c r="B294" s="69" t="s">
        <v>71</v>
      </c>
      <c r="C294" s="69" t="s">
        <v>411</v>
      </c>
      <c r="D294" s="81" t="s">
        <v>93</v>
      </c>
      <c r="E294" s="70" t="s">
        <v>412</v>
      </c>
      <c r="F294" s="73">
        <f>F295</f>
        <v>9521.5</v>
      </c>
      <c r="G294" s="73">
        <f t="shared" si="133"/>
        <v>9521.1</v>
      </c>
    </row>
    <row r="295" spans="1:7" ht="78.75">
      <c r="A295" s="69" t="s">
        <v>60</v>
      </c>
      <c r="B295" s="69" t="s">
        <v>71</v>
      </c>
      <c r="C295" s="69" t="s">
        <v>257</v>
      </c>
      <c r="D295" s="69" t="s">
        <v>93</v>
      </c>
      <c r="E295" s="70" t="s">
        <v>330</v>
      </c>
      <c r="F295" s="73">
        <f>F296+F297+F298</f>
        <v>9521.5</v>
      </c>
      <c r="G295" s="73">
        <f aca="true" t="shared" si="134" ref="G295">G296+G297+G298</f>
        <v>9521.1</v>
      </c>
    </row>
    <row r="296" spans="1:7" ht="78.75">
      <c r="A296" s="69" t="s">
        <v>60</v>
      </c>
      <c r="B296" s="69" t="s">
        <v>71</v>
      </c>
      <c r="C296" s="69" t="s">
        <v>257</v>
      </c>
      <c r="D296" s="69" t="s">
        <v>95</v>
      </c>
      <c r="E296" s="70" t="s">
        <v>3</v>
      </c>
      <c r="F296" s="73">
        <v>8007.7</v>
      </c>
      <c r="G296" s="73">
        <v>8007.7</v>
      </c>
    </row>
    <row r="297" spans="1:7" ht="31.5">
      <c r="A297" s="69" t="s">
        <v>60</v>
      </c>
      <c r="B297" s="69" t="s">
        <v>71</v>
      </c>
      <c r="C297" s="69" t="s">
        <v>257</v>
      </c>
      <c r="D297" s="69" t="s">
        <v>96</v>
      </c>
      <c r="E297" s="70" t="s">
        <v>329</v>
      </c>
      <c r="F297" s="73">
        <f>1395.4+29.8</f>
        <v>1425.2</v>
      </c>
      <c r="G297" s="73">
        <v>1424.8</v>
      </c>
    </row>
    <row r="298" spans="1:7" ht="12.75">
      <c r="A298" s="69" t="s">
        <v>60</v>
      </c>
      <c r="B298" s="69" t="s">
        <v>71</v>
      </c>
      <c r="C298" s="69" t="s">
        <v>257</v>
      </c>
      <c r="D298" s="69" t="s">
        <v>97</v>
      </c>
      <c r="E298" s="70" t="s">
        <v>98</v>
      </c>
      <c r="F298" s="73">
        <f>118.4-29.8</f>
        <v>88.60000000000001</v>
      </c>
      <c r="G298" s="73">
        <v>88.6</v>
      </c>
    </row>
    <row r="299" spans="1:7" ht="12.75">
      <c r="A299" s="69" t="s">
        <v>60</v>
      </c>
      <c r="B299" s="69" t="s">
        <v>72</v>
      </c>
      <c r="C299" s="69" t="s">
        <v>93</v>
      </c>
      <c r="D299" s="69" t="s">
        <v>93</v>
      </c>
      <c r="E299" s="70" t="s">
        <v>13</v>
      </c>
      <c r="F299" s="73">
        <f aca="true" t="shared" si="135" ref="F299:G302">F300</f>
        <v>1401.2</v>
      </c>
      <c r="G299" s="73">
        <f t="shared" si="135"/>
        <v>0</v>
      </c>
    </row>
    <row r="300" spans="1:7" ht="12.75">
      <c r="A300" s="69" t="s">
        <v>60</v>
      </c>
      <c r="B300" s="69" t="s">
        <v>72</v>
      </c>
      <c r="C300" s="69" t="s">
        <v>308</v>
      </c>
      <c r="D300" s="69" t="s">
        <v>93</v>
      </c>
      <c r="E300" s="70" t="s">
        <v>413</v>
      </c>
      <c r="F300" s="73">
        <f t="shared" si="135"/>
        <v>1401.2</v>
      </c>
      <c r="G300" s="73">
        <f t="shared" si="135"/>
        <v>0</v>
      </c>
    </row>
    <row r="301" spans="1:7" ht="12.75">
      <c r="A301" s="69" t="s">
        <v>60</v>
      </c>
      <c r="B301" s="69" t="s">
        <v>72</v>
      </c>
      <c r="C301" s="69" t="s">
        <v>414</v>
      </c>
      <c r="D301" s="69" t="s">
        <v>93</v>
      </c>
      <c r="E301" s="70" t="s">
        <v>13</v>
      </c>
      <c r="F301" s="73">
        <f t="shared" si="135"/>
        <v>1401.2</v>
      </c>
      <c r="G301" s="73">
        <f t="shared" si="135"/>
        <v>0</v>
      </c>
    </row>
    <row r="302" spans="1:7" ht="31.5">
      <c r="A302" s="69" t="s">
        <v>60</v>
      </c>
      <c r="B302" s="69" t="s">
        <v>72</v>
      </c>
      <c r="C302" s="69" t="s">
        <v>258</v>
      </c>
      <c r="D302" s="69" t="s">
        <v>93</v>
      </c>
      <c r="E302" s="70" t="s">
        <v>131</v>
      </c>
      <c r="F302" s="73">
        <f t="shared" si="135"/>
        <v>1401.2</v>
      </c>
      <c r="G302" s="73">
        <f t="shared" si="135"/>
        <v>0</v>
      </c>
    </row>
    <row r="303" spans="1:7" ht="12.75">
      <c r="A303" s="69" t="s">
        <v>60</v>
      </c>
      <c r="B303" s="69" t="s">
        <v>72</v>
      </c>
      <c r="C303" s="69" t="s">
        <v>258</v>
      </c>
      <c r="D303" s="69" t="s">
        <v>97</v>
      </c>
      <c r="E303" s="70" t="s">
        <v>98</v>
      </c>
      <c r="F303" s="73">
        <f>2000-598.8</f>
        <v>1401.2</v>
      </c>
      <c r="G303" s="73">
        <v>0</v>
      </c>
    </row>
    <row r="304" spans="1:7" ht="12.75">
      <c r="A304" s="69" t="s">
        <v>60</v>
      </c>
      <c r="B304" s="69" t="s">
        <v>87</v>
      </c>
      <c r="C304" s="69" t="s">
        <v>93</v>
      </c>
      <c r="D304" s="69" t="s">
        <v>93</v>
      </c>
      <c r="E304" s="70" t="s">
        <v>46</v>
      </c>
      <c r="F304" s="73">
        <f>F305</f>
        <v>1141</v>
      </c>
      <c r="G304" s="73">
        <f aca="true" t="shared" si="136" ref="G304">G305</f>
        <v>910.3</v>
      </c>
    </row>
    <row r="305" spans="1:7" ht="47.25">
      <c r="A305" s="69" t="s">
        <v>60</v>
      </c>
      <c r="B305" s="69" t="s">
        <v>87</v>
      </c>
      <c r="C305" s="69" t="s">
        <v>255</v>
      </c>
      <c r="D305" s="69" t="s">
        <v>93</v>
      </c>
      <c r="E305" s="70" t="s">
        <v>410</v>
      </c>
      <c r="F305" s="73">
        <f>F306+F310</f>
        <v>1141</v>
      </c>
      <c r="G305" s="73">
        <f aca="true" t="shared" si="137" ref="G305">G306+G310</f>
        <v>910.3</v>
      </c>
    </row>
    <row r="306" spans="1:7" ht="31.5">
      <c r="A306" s="69" t="s">
        <v>60</v>
      </c>
      <c r="B306" s="69" t="s">
        <v>87</v>
      </c>
      <c r="C306" s="69" t="s">
        <v>259</v>
      </c>
      <c r="D306" s="69" t="s">
        <v>93</v>
      </c>
      <c r="E306" s="70" t="s">
        <v>415</v>
      </c>
      <c r="F306" s="73">
        <f>F307</f>
        <v>1114.7</v>
      </c>
      <c r="G306" s="73">
        <f aca="true" t="shared" si="138" ref="G306">G307</f>
        <v>884</v>
      </c>
    </row>
    <row r="307" spans="1:7" ht="63">
      <c r="A307" s="69" t="s">
        <v>60</v>
      </c>
      <c r="B307" s="69" t="s">
        <v>87</v>
      </c>
      <c r="C307" s="69" t="s">
        <v>416</v>
      </c>
      <c r="D307" s="81" t="s">
        <v>93</v>
      </c>
      <c r="E307" s="70" t="s">
        <v>417</v>
      </c>
      <c r="F307" s="73">
        <f>F308</f>
        <v>1114.7</v>
      </c>
      <c r="G307" s="73">
        <f aca="true" t="shared" si="139" ref="G307:G308">G308</f>
        <v>884</v>
      </c>
    </row>
    <row r="308" spans="1:7" ht="63">
      <c r="A308" s="69" t="s">
        <v>60</v>
      </c>
      <c r="B308" s="69" t="s">
        <v>87</v>
      </c>
      <c r="C308" s="69" t="s">
        <v>260</v>
      </c>
      <c r="D308" s="69" t="s">
        <v>93</v>
      </c>
      <c r="E308" s="70" t="s">
        <v>189</v>
      </c>
      <c r="F308" s="73">
        <f>F309</f>
        <v>1114.7</v>
      </c>
      <c r="G308" s="73">
        <f t="shared" si="139"/>
        <v>884</v>
      </c>
    </row>
    <row r="309" spans="1:7" ht="31.5">
      <c r="A309" s="69" t="s">
        <v>60</v>
      </c>
      <c r="B309" s="69" t="s">
        <v>87</v>
      </c>
      <c r="C309" s="69" t="s">
        <v>260</v>
      </c>
      <c r="D309" s="69" t="s">
        <v>96</v>
      </c>
      <c r="E309" s="70" t="s">
        <v>329</v>
      </c>
      <c r="F309" s="73">
        <f>1102+12.7</f>
        <v>1114.7</v>
      </c>
      <c r="G309" s="73">
        <v>884</v>
      </c>
    </row>
    <row r="310" spans="1:7" ht="12.75">
      <c r="A310" s="69" t="s">
        <v>60</v>
      </c>
      <c r="B310" s="69" t="s">
        <v>87</v>
      </c>
      <c r="C310" s="69" t="s">
        <v>261</v>
      </c>
      <c r="D310" s="69" t="s">
        <v>93</v>
      </c>
      <c r="E310" s="70" t="s">
        <v>129</v>
      </c>
      <c r="F310" s="73">
        <f>F311</f>
        <v>26.3</v>
      </c>
      <c r="G310" s="73">
        <f aca="true" t="shared" si="140" ref="G310:G311">G311</f>
        <v>26.3</v>
      </c>
    </row>
    <row r="311" spans="1:7" ht="31.5">
      <c r="A311" s="69" t="s">
        <v>60</v>
      </c>
      <c r="B311" s="69" t="s">
        <v>87</v>
      </c>
      <c r="C311" s="69" t="s">
        <v>418</v>
      </c>
      <c r="D311" s="81" t="s">
        <v>93</v>
      </c>
      <c r="E311" s="70" t="s">
        <v>419</v>
      </c>
      <c r="F311" s="73">
        <f>F312</f>
        <v>26.3</v>
      </c>
      <c r="G311" s="73">
        <f t="shared" si="140"/>
        <v>26.3</v>
      </c>
    </row>
    <row r="312" spans="1:7" ht="47.25">
      <c r="A312" s="69" t="s">
        <v>60</v>
      </c>
      <c r="B312" s="69" t="s">
        <v>87</v>
      </c>
      <c r="C312" s="69" t="s">
        <v>262</v>
      </c>
      <c r="D312" s="69" t="s">
        <v>93</v>
      </c>
      <c r="E312" s="70" t="s">
        <v>130</v>
      </c>
      <c r="F312" s="73">
        <f>F313</f>
        <v>26.3</v>
      </c>
      <c r="G312" s="73">
        <f aca="true" t="shared" si="141" ref="G312">G313</f>
        <v>26.3</v>
      </c>
    </row>
    <row r="313" spans="1:7" ht="31.5">
      <c r="A313" s="69" t="s">
        <v>60</v>
      </c>
      <c r="B313" s="69" t="s">
        <v>87</v>
      </c>
      <c r="C313" s="69" t="s">
        <v>262</v>
      </c>
      <c r="D313" s="69" t="s">
        <v>96</v>
      </c>
      <c r="E313" s="70" t="s">
        <v>329</v>
      </c>
      <c r="F313" s="73">
        <f>39-12.7</f>
        <v>26.3</v>
      </c>
      <c r="G313" s="73">
        <v>26.3</v>
      </c>
    </row>
    <row r="314" spans="1:7" ht="31.5">
      <c r="A314" s="69" t="s">
        <v>60</v>
      </c>
      <c r="B314" s="69" t="s">
        <v>322</v>
      </c>
      <c r="C314" s="69" t="s">
        <v>93</v>
      </c>
      <c r="D314" s="69" t="s">
        <v>93</v>
      </c>
      <c r="E314" s="70" t="s">
        <v>485</v>
      </c>
      <c r="F314" s="73">
        <f aca="true" t="shared" si="142" ref="F314:G319">F315</f>
        <v>525.5</v>
      </c>
      <c r="G314" s="73">
        <f t="shared" si="142"/>
        <v>520.2</v>
      </c>
    </row>
    <row r="315" spans="1:7" ht="31.5">
      <c r="A315" s="69" t="s">
        <v>60</v>
      </c>
      <c r="B315" s="69" t="s">
        <v>323</v>
      </c>
      <c r="C315" s="69" t="s">
        <v>93</v>
      </c>
      <c r="D315" s="69" t="s">
        <v>93</v>
      </c>
      <c r="E315" s="70" t="s">
        <v>324</v>
      </c>
      <c r="F315" s="73">
        <f t="shared" si="142"/>
        <v>525.5</v>
      </c>
      <c r="G315" s="73">
        <f t="shared" si="142"/>
        <v>520.2</v>
      </c>
    </row>
    <row r="316" spans="1:7" ht="47.25">
      <c r="A316" s="69" t="s">
        <v>60</v>
      </c>
      <c r="B316" s="69" t="s">
        <v>323</v>
      </c>
      <c r="C316" s="69" t="s">
        <v>255</v>
      </c>
      <c r="D316" s="69" t="s">
        <v>93</v>
      </c>
      <c r="E316" s="70" t="s">
        <v>410</v>
      </c>
      <c r="F316" s="73">
        <f t="shared" si="142"/>
        <v>525.5</v>
      </c>
      <c r="G316" s="73">
        <f t="shared" si="142"/>
        <v>520.2</v>
      </c>
    </row>
    <row r="317" spans="1:7" ht="47.25">
      <c r="A317" s="69" t="s">
        <v>60</v>
      </c>
      <c r="B317" s="69" t="s">
        <v>323</v>
      </c>
      <c r="C317" s="69" t="s">
        <v>424</v>
      </c>
      <c r="D317" s="69" t="s">
        <v>93</v>
      </c>
      <c r="E317" s="70" t="s">
        <v>425</v>
      </c>
      <c r="F317" s="73">
        <f t="shared" si="142"/>
        <v>525.5</v>
      </c>
      <c r="G317" s="73">
        <f t="shared" si="142"/>
        <v>520.2</v>
      </c>
    </row>
    <row r="318" spans="1:7" ht="47.25">
      <c r="A318" s="69" t="s">
        <v>60</v>
      </c>
      <c r="B318" s="69" t="s">
        <v>323</v>
      </c>
      <c r="C318" s="69" t="s">
        <v>426</v>
      </c>
      <c r="D318" s="81" t="s">
        <v>93</v>
      </c>
      <c r="E318" s="70" t="s">
        <v>427</v>
      </c>
      <c r="F318" s="73">
        <f t="shared" si="142"/>
        <v>525.5</v>
      </c>
      <c r="G318" s="73">
        <f t="shared" si="142"/>
        <v>520.2</v>
      </c>
    </row>
    <row r="319" spans="1:7" ht="12.75">
      <c r="A319" s="69" t="s">
        <v>60</v>
      </c>
      <c r="B319" s="69" t="s">
        <v>323</v>
      </c>
      <c r="C319" s="69" t="s">
        <v>428</v>
      </c>
      <c r="D319" s="69" t="s">
        <v>93</v>
      </c>
      <c r="E319" s="70" t="s">
        <v>429</v>
      </c>
      <c r="F319" s="73">
        <f t="shared" si="142"/>
        <v>525.5</v>
      </c>
      <c r="G319" s="73">
        <f t="shared" si="142"/>
        <v>520.2</v>
      </c>
    </row>
    <row r="320" spans="1:7" ht="31.5">
      <c r="A320" s="69" t="s">
        <v>60</v>
      </c>
      <c r="B320" s="69" t="s">
        <v>323</v>
      </c>
      <c r="C320" s="69" t="s">
        <v>428</v>
      </c>
      <c r="D320" s="69" t="s">
        <v>430</v>
      </c>
      <c r="E320" s="70" t="s">
        <v>431</v>
      </c>
      <c r="F320" s="73">
        <f>700-174.5</f>
        <v>525.5</v>
      </c>
      <c r="G320" s="73">
        <v>520.2</v>
      </c>
    </row>
    <row r="321" spans="1:7" ht="47.25">
      <c r="A321" s="258" t="s">
        <v>58</v>
      </c>
      <c r="B321" s="69" t="s">
        <v>93</v>
      </c>
      <c r="C321" s="81" t="s">
        <v>93</v>
      </c>
      <c r="D321" s="81" t="s">
        <v>93</v>
      </c>
      <c r="E321" s="259" t="s">
        <v>521</v>
      </c>
      <c r="F321" s="157">
        <f>F322+F336+F343+F350</f>
        <v>16576.199999999997</v>
      </c>
      <c r="G321" s="157">
        <f>G322+G336+G343+G350</f>
        <v>15610</v>
      </c>
    </row>
    <row r="322" spans="1:7" ht="12.75">
      <c r="A322" s="69" t="s">
        <v>58</v>
      </c>
      <c r="B322" s="69" t="s">
        <v>81</v>
      </c>
      <c r="C322" s="69" t="s">
        <v>93</v>
      </c>
      <c r="D322" s="69" t="s">
        <v>93</v>
      </c>
      <c r="E322" s="59" t="s">
        <v>26</v>
      </c>
      <c r="F322" s="73">
        <f>F323</f>
        <v>8739.3</v>
      </c>
      <c r="G322" s="73">
        <f aca="true" t="shared" si="143" ref="G322:G323">G323</f>
        <v>7803.9</v>
      </c>
    </row>
    <row r="323" spans="1:7" ht="12.75">
      <c r="A323" s="69" t="s">
        <v>58</v>
      </c>
      <c r="B323" s="69" t="s">
        <v>87</v>
      </c>
      <c r="C323" s="69" t="s">
        <v>93</v>
      </c>
      <c r="D323" s="69" t="s">
        <v>93</v>
      </c>
      <c r="E323" s="70" t="s">
        <v>46</v>
      </c>
      <c r="F323" s="73">
        <f>F324</f>
        <v>8739.3</v>
      </c>
      <c r="G323" s="73">
        <f t="shared" si="143"/>
        <v>7803.9</v>
      </c>
    </row>
    <row r="324" spans="1:7" ht="63">
      <c r="A324" s="69" t="s">
        <v>58</v>
      </c>
      <c r="B324" s="69" t="s">
        <v>87</v>
      </c>
      <c r="C324" s="69" t="s">
        <v>263</v>
      </c>
      <c r="D324" s="69" t="s">
        <v>93</v>
      </c>
      <c r="E324" s="70" t="s">
        <v>433</v>
      </c>
      <c r="F324" s="73">
        <f>F325+F331</f>
        <v>8739.3</v>
      </c>
      <c r="G324" s="73">
        <f aca="true" t="shared" si="144" ref="G324">G325+G331</f>
        <v>7803.9</v>
      </c>
    </row>
    <row r="325" spans="1:7" ht="47.25">
      <c r="A325" s="69" t="s">
        <v>58</v>
      </c>
      <c r="B325" s="69" t="s">
        <v>87</v>
      </c>
      <c r="C325" s="69" t="s">
        <v>264</v>
      </c>
      <c r="D325" s="69" t="s">
        <v>93</v>
      </c>
      <c r="E325" s="70" t="s">
        <v>146</v>
      </c>
      <c r="F325" s="73">
        <f>F326</f>
        <v>2903.1000000000004</v>
      </c>
      <c r="G325" s="73">
        <f aca="true" t="shared" si="145" ref="G325">G326</f>
        <v>2052.7</v>
      </c>
    </row>
    <row r="326" spans="1:7" ht="63">
      <c r="A326" s="69" t="s">
        <v>58</v>
      </c>
      <c r="B326" s="69" t="s">
        <v>87</v>
      </c>
      <c r="C326" s="69" t="s">
        <v>434</v>
      </c>
      <c r="D326" s="81" t="s">
        <v>93</v>
      </c>
      <c r="E326" s="70" t="s">
        <v>435</v>
      </c>
      <c r="F326" s="73">
        <f>F327+F329</f>
        <v>2903.1000000000004</v>
      </c>
      <c r="G326" s="73">
        <f aca="true" t="shared" si="146" ref="G326">G327+G329</f>
        <v>2052.7</v>
      </c>
    </row>
    <row r="327" spans="1:7" ht="31.5">
      <c r="A327" s="69" t="s">
        <v>58</v>
      </c>
      <c r="B327" s="69" t="s">
        <v>87</v>
      </c>
      <c r="C327" s="69" t="s">
        <v>266</v>
      </c>
      <c r="D327" s="69" t="s">
        <v>93</v>
      </c>
      <c r="E327" s="70" t="s">
        <v>147</v>
      </c>
      <c r="F327" s="73">
        <f>F328</f>
        <v>2695.1000000000004</v>
      </c>
      <c r="G327" s="73">
        <f aca="true" t="shared" si="147" ref="G327">G328</f>
        <v>1866.8</v>
      </c>
    </row>
    <row r="328" spans="1:7" ht="31.5">
      <c r="A328" s="69" t="s">
        <v>58</v>
      </c>
      <c r="B328" s="69" t="s">
        <v>87</v>
      </c>
      <c r="C328" s="69" t="s">
        <v>266</v>
      </c>
      <c r="D328" s="69" t="s">
        <v>96</v>
      </c>
      <c r="E328" s="70" t="s">
        <v>329</v>
      </c>
      <c r="F328" s="73">
        <f>2031.3+100+783.8-220</f>
        <v>2695.1000000000004</v>
      </c>
      <c r="G328" s="73">
        <v>1866.8</v>
      </c>
    </row>
    <row r="329" spans="1:7" ht="47.25">
      <c r="A329" s="69" t="s">
        <v>58</v>
      </c>
      <c r="B329" s="69" t="s">
        <v>87</v>
      </c>
      <c r="C329" s="69" t="s">
        <v>267</v>
      </c>
      <c r="D329" s="69" t="s">
        <v>93</v>
      </c>
      <c r="E329" s="70" t="s">
        <v>436</v>
      </c>
      <c r="F329" s="73">
        <f>F330</f>
        <v>208</v>
      </c>
      <c r="G329" s="73">
        <f aca="true" t="shared" si="148" ref="G329">G330</f>
        <v>185.9</v>
      </c>
    </row>
    <row r="330" spans="1:7" ht="31.5">
      <c r="A330" s="69" t="s">
        <v>58</v>
      </c>
      <c r="B330" s="69" t="s">
        <v>87</v>
      </c>
      <c r="C330" s="69" t="s">
        <v>267</v>
      </c>
      <c r="D330" s="69" t="s">
        <v>96</v>
      </c>
      <c r="E330" s="70" t="s">
        <v>329</v>
      </c>
      <c r="F330" s="73">
        <v>208</v>
      </c>
      <c r="G330" s="73">
        <v>185.9</v>
      </c>
    </row>
    <row r="331" spans="1:7" ht="12.75">
      <c r="A331" s="69" t="s">
        <v>58</v>
      </c>
      <c r="B331" s="69" t="s">
        <v>87</v>
      </c>
      <c r="C331" s="69" t="s">
        <v>268</v>
      </c>
      <c r="D331" s="69" t="s">
        <v>93</v>
      </c>
      <c r="E331" s="70" t="s">
        <v>2</v>
      </c>
      <c r="F331" s="73">
        <f>F332</f>
        <v>5836.2</v>
      </c>
      <c r="G331" s="73">
        <f aca="true" t="shared" si="149" ref="G331:G332">G332</f>
        <v>5751.2</v>
      </c>
    </row>
    <row r="332" spans="1:7" ht="12.75">
      <c r="A332" s="69" t="s">
        <v>58</v>
      </c>
      <c r="B332" s="69" t="s">
        <v>87</v>
      </c>
      <c r="C332" s="69" t="s">
        <v>437</v>
      </c>
      <c r="D332" s="81" t="s">
        <v>93</v>
      </c>
      <c r="E332" s="70" t="s">
        <v>412</v>
      </c>
      <c r="F332" s="73">
        <f>F333</f>
        <v>5836.2</v>
      </c>
      <c r="G332" s="73">
        <f t="shared" si="149"/>
        <v>5751.2</v>
      </c>
    </row>
    <row r="333" spans="1:7" ht="78.75">
      <c r="A333" s="69" t="s">
        <v>58</v>
      </c>
      <c r="B333" s="69" t="s">
        <v>87</v>
      </c>
      <c r="C333" s="69" t="s">
        <v>265</v>
      </c>
      <c r="D333" s="69" t="s">
        <v>93</v>
      </c>
      <c r="E333" s="70" t="s">
        <v>330</v>
      </c>
      <c r="F333" s="73">
        <f>F334+F335</f>
        <v>5836.2</v>
      </c>
      <c r="G333" s="73">
        <f aca="true" t="shared" si="150" ref="G333">G334+G335</f>
        <v>5751.2</v>
      </c>
    </row>
    <row r="334" spans="1:7" ht="78.75">
      <c r="A334" s="69" t="s">
        <v>58</v>
      </c>
      <c r="B334" s="69" t="s">
        <v>87</v>
      </c>
      <c r="C334" s="69" t="s">
        <v>265</v>
      </c>
      <c r="D334" s="69" t="s">
        <v>95</v>
      </c>
      <c r="E334" s="70" t="s">
        <v>3</v>
      </c>
      <c r="F334" s="73">
        <f>5298.5+62.7</f>
        <v>5361.2</v>
      </c>
      <c r="G334" s="73">
        <v>5335.4</v>
      </c>
    </row>
    <row r="335" spans="1:7" ht="31.5">
      <c r="A335" s="69" t="s">
        <v>58</v>
      </c>
      <c r="B335" s="69" t="s">
        <v>87</v>
      </c>
      <c r="C335" s="69" t="s">
        <v>265</v>
      </c>
      <c r="D335" s="69" t="s">
        <v>96</v>
      </c>
      <c r="E335" s="70" t="s">
        <v>329</v>
      </c>
      <c r="F335" s="73">
        <v>475</v>
      </c>
      <c r="G335" s="73">
        <v>415.8</v>
      </c>
    </row>
    <row r="336" spans="1:7" ht="12.75">
      <c r="A336" s="69" t="s">
        <v>58</v>
      </c>
      <c r="B336" s="69" t="s">
        <v>83</v>
      </c>
      <c r="C336" s="69" t="s">
        <v>93</v>
      </c>
      <c r="D336" s="69" t="s">
        <v>93</v>
      </c>
      <c r="E336" s="70" t="s">
        <v>48</v>
      </c>
      <c r="F336" s="73">
        <f aca="true" t="shared" si="151" ref="F336:F341">F337</f>
        <v>959.3</v>
      </c>
      <c r="G336" s="73">
        <f aca="true" t="shared" si="152" ref="G336:G341">G337</f>
        <v>928.5</v>
      </c>
    </row>
    <row r="337" spans="1:7" ht="12.75">
      <c r="A337" s="69" t="s">
        <v>58</v>
      </c>
      <c r="B337" s="69" t="s">
        <v>74</v>
      </c>
      <c r="C337" s="69" t="s">
        <v>93</v>
      </c>
      <c r="D337" s="69" t="s">
        <v>93</v>
      </c>
      <c r="E337" s="70" t="s">
        <v>49</v>
      </c>
      <c r="F337" s="73">
        <f t="shared" si="151"/>
        <v>959.3</v>
      </c>
      <c r="G337" s="73">
        <f t="shared" si="152"/>
        <v>928.5</v>
      </c>
    </row>
    <row r="338" spans="1:7" ht="63">
      <c r="A338" s="69" t="s">
        <v>58</v>
      </c>
      <c r="B338" s="69" t="s">
        <v>74</v>
      </c>
      <c r="C338" s="69" t="s">
        <v>263</v>
      </c>
      <c r="D338" s="69" t="s">
        <v>93</v>
      </c>
      <c r="E338" s="70" t="s">
        <v>433</v>
      </c>
      <c r="F338" s="73">
        <f t="shared" si="151"/>
        <v>959.3</v>
      </c>
      <c r="G338" s="73">
        <f t="shared" si="152"/>
        <v>928.5</v>
      </c>
    </row>
    <row r="339" spans="1:7" ht="47.25">
      <c r="A339" s="69" t="s">
        <v>58</v>
      </c>
      <c r="B339" s="69" t="s">
        <v>74</v>
      </c>
      <c r="C339" s="69" t="s">
        <v>264</v>
      </c>
      <c r="D339" s="69" t="s">
        <v>93</v>
      </c>
      <c r="E339" s="70" t="s">
        <v>146</v>
      </c>
      <c r="F339" s="73">
        <f t="shared" si="151"/>
        <v>959.3</v>
      </c>
      <c r="G339" s="73">
        <f t="shared" si="152"/>
        <v>928.5</v>
      </c>
    </row>
    <row r="340" spans="1:7" ht="47.25">
      <c r="A340" s="69" t="s">
        <v>58</v>
      </c>
      <c r="B340" s="69" t="s">
        <v>74</v>
      </c>
      <c r="C340" s="69" t="s">
        <v>438</v>
      </c>
      <c r="D340" s="81" t="s">
        <v>93</v>
      </c>
      <c r="E340" s="70" t="s">
        <v>439</v>
      </c>
      <c r="F340" s="73">
        <f t="shared" si="151"/>
        <v>959.3</v>
      </c>
      <c r="G340" s="73">
        <f t="shared" si="152"/>
        <v>928.5</v>
      </c>
    </row>
    <row r="341" spans="1:7" ht="31.5">
      <c r="A341" s="69" t="s">
        <v>58</v>
      </c>
      <c r="B341" s="69" t="s">
        <v>74</v>
      </c>
      <c r="C341" s="69" t="s">
        <v>269</v>
      </c>
      <c r="D341" s="69" t="s">
        <v>93</v>
      </c>
      <c r="E341" s="70" t="s">
        <v>148</v>
      </c>
      <c r="F341" s="73">
        <f t="shared" si="151"/>
        <v>959.3</v>
      </c>
      <c r="G341" s="73">
        <f t="shared" si="152"/>
        <v>928.5</v>
      </c>
    </row>
    <row r="342" spans="1:7" ht="31.5">
      <c r="A342" s="69" t="s">
        <v>58</v>
      </c>
      <c r="B342" s="69" t="s">
        <v>74</v>
      </c>
      <c r="C342" s="69" t="s">
        <v>269</v>
      </c>
      <c r="D342" s="69" t="s">
        <v>96</v>
      </c>
      <c r="E342" s="70" t="s">
        <v>329</v>
      </c>
      <c r="F342" s="73">
        <f>1101.3+687.5-829.5</f>
        <v>959.3</v>
      </c>
      <c r="G342" s="73">
        <v>928.5</v>
      </c>
    </row>
    <row r="343" spans="1:7" ht="12.75">
      <c r="A343" s="69" t="s">
        <v>58</v>
      </c>
      <c r="B343" s="69" t="s">
        <v>84</v>
      </c>
      <c r="C343" s="69" t="s">
        <v>93</v>
      </c>
      <c r="D343" s="69" t="s">
        <v>93</v>
      </c>
      <c r="E343" s="70" t="s">
        <v>50</v>
      </c>
      <c r="F343" s="73">
        <f>F344</f>
        <v>1524.6</v>
      </c>
      <c r="G343" s="73">
        <f aca="true" t="shared" si="153" ref="G343">G344</f>
        <v>1524.6</v>
      </c>
    </row>
    <row r="344" spans="1:7" ht="12.75">
      <c r="A344" s="69" t="s">
        <v>58</v>
      </c>
      <c r="B344" s="69" t="s">
        <v>8</v>
      </c>
      <c r="C344" s="69" t="s">
        <v>93</v>
      </c>
      <c r="D344" s="69" t="s">
        <v>93</v>
      </c>
      <c r="E344" s="70" t="s">
        <v>9</v>
      </c>
      <c r="F344" s="73">
        <f aca="true" t="shared" si="154" ref="F344:F348">F345</f>
        <v>1524.6</v>
      </c>
      <c r="G344" s="73">
        <f aca="true" t="shared" si="155" ref="G344:G348">G345</f>
        <v>1524.6</v>
      </c>
    </row>
    <row r="345" spans="1:7" ht="63">
      <c r="A345" s="69" t="s">
        <v>58</v>
      </c>
      <c r="B345" s="69" t="s">
        <v>8</v>
      </c>
      <c r="C345" s="69" t="s">
        <v>263</v>
      </c>
      <c r="D345" s="69" t="s">
        <v>93</v>
      </c>
      <c r="E345" s="70" t="s">
        <v>433</v>
      </c>
      <c r="F345" s="73">
        <f t="shared" si="154"/>
        <v>1524.6</v>
      </c>
      <c r="G345" s="73">
        <f t="shared" si="155"/>
        <v>1524.6</v>
      </c>
    </row>
    <row r="346" spans="1:7" ht="47.25">
      <c r="A346" s="69" t="s">
        <v>58</v>
      </c>
      <c r="B346" s="69" t="s">
        <v>8</v>
      </c>
      <c r="C346" s="69" t="s">
        <v>264</v>
      </c>
      <c r="D346" s="69" t="s">
        <v>93</v>
      </c>
      <c r="E346" s="70" t="s">
        <v>146</v>
      </c>
      <c r="F346" s="73">
        <f t="shared" si="154"/>
        <v>1524.6</v>
      </c>
      <c r="G346" s="73">
        <f t="shared" si="155"/>
        <v>1524.6</v>
      </c>
    </row>
    <row r="347" spans="1:7" ht="63">
      <c r="A347" s="69" t="s">
        <v>58</v>
      </c>
      <c r="B347" s="69" t="s">
        <v>8</v>
      </c>
      <c r="C347" s="69" t="s">
        <v>434</v>
      </c>
      <c r="D347" s="81" t="s">
        <v>93</v>
      </c>
      <c r="E347" s="70" t="s">
        <v>435</v>
      </c>
      <c r="F347" s="73">
        <f t="shared" si="154"/>
        <v>1524.6</v>
      </c>
      <c r="G347" s="73">
        <f t="shared" si="155"/>
        <v>1524.6</v>
      </c>
    </row>
    <row r="348" spans="1:7" ht="63">
      <c r="A348" s="69" t="s">
        <v>58</v>
      </c>
      <c r="B348" s="69" t="s">
        <v>8</v>
      </c>
      <c r="C348" s="69" t="s">
        <v>270</v>
      </c>
      <c r="D348" s="69" t="s">
        <v>93</v>
      </c>
      <c r="E348" s="70" t="s">
        <v>193</v>
      </c>
      <c r="F348" s="73">
        <f t="shared" si="154"/>
        <v>1524.6</v>
      </c>
      <c r="G348" s="73">
        <f t="shared" si="155"/>
        <v>1524.6</v>
      </c>
    </row>
    <row r="349" spans="1:7" ht="31.5">
      <c r="A349" s="69" t="s">
        <v>58</v>
      </c>
      <c r="B349" s="69" t="s">
        <v>8</v>
      </c>
      <c r="C349" s="69" t="s">
        <v>270</v>
      </c>
      <c r="D349" s="69" t="s">
        <v>96</v>
      </c>
      <c r="E349" s="70" t="s">
        <v>329</v>
      </c>
      <c r="F349" s="73">
        <v>1524.6</v>
      </c>
      <c r="G349" s="73">
        <v>1524.6</v>
      </c>
    </row>
    <row r="350" spans="1:7" ht="12.75">
      <c r="A350" s="69" t="s">
        <v>58</v>
      </c>
      <c r="B350" s="69" t="s">
        <v>64</v>
      </c>
      <c r="C350" s="69" t="s">
        <v>93</v>
      </c>
      <c r="D350" s="69" t="s">
        <v>93</v>
      </c>
      <c r="E350" s="70" t="s">
        <v>56</v>
      </c>
      <c r="F350" s="73">
        <f aca="true" t="shared" si="156" ref="F350:F355">F351</f>
        <v>5353</v>
      </c>
      <c r="G350" s="73">
        <f aca="true" t="shared" si="157" ref="G350:G351">G351</f>
        <v>5353</v>
      </c>
    </row>
    <row r="351" spans="1:7" ht="12.75">
      <c r="A351" s="69" t="s">
        <v>58</v>
      </c>
      <c r="B351" s="69" t="s">
        <v>125</v>
      </c>
      <c r="C351" s="69" t="s">
        <v>93</v>
      </c>
      <c r="D351" s="69" t="s">
        <v>93</v>
      </c>
      <c r="E351" s="70" t="s">
        <v>126</v>
      </c>
      <c r="F351" s="73">
        <f t="shared" si="156"/>
        <v>5353</v>
      </c>
      <c r="G351" s="73">
        <f t="shared" si="157"/>
        <v>5353</v>
      </c>
    </row>
    <row r="352" spans="1:7" ht="63">
      <c r="A352" s="69" t="s">
        <v>58</v>
      </c>
      <c r="B352" s="69" t="s">
        <v>125</v>
      </c>
      <c r="C352" s="69" t="s">
        <v>235</v>
      </c>
      <c r="D352" s="69" t="s">
        <v>93</v>
      </c>
      <c r="E352" s="70" t="s">
        <v>440</v>
      </c>
      <c r="F352" s="73">
        <f t="shared" si="156"/>
        <v>5353</v>
      </c>
      <c r="G352" s="73">
        <f aca="true" t="shared" si="158" ref="G352">G353</f>
        <v>5353</v>
      </c>
    </row>
    <row r="353" spans="1:7" ht="63">
      <c r="A353" s="69" t="s">
        <v>58</v>
      </c>
      <c r="B353" s="69" t="s">
        <v>125</v>
      </c>
      <c r="C353" s="69" t="s">
        <v>271</v>
      </c>
      <c r="D353" s="69" t="s">
        <v>93</v>
      </c>
      <c r="E353" s="70" t="s">
        <v>441</v>
      </c>
      <c r="F353" s="73">
        <f t="shared" si="156"/>
        <v>5353</v>
      </c>
      <c r="G353" s="73">
        <f aca="true" t="shared" si="159" ref="G353:G355">G354</f>
        <v>5353</v>
      </c>
    </row>
    <row r="354" spans="1:7" ht="78.75">
      <c r="A354" s="69" t="s">
        <v>58</v>
      </c>
      <c r="B354" s="69" t="s">
        <v>125</v>
      </c>
      <c r="C354" s="69" t="s">
        <v>442</v>
      </c>
      <c r="D354" s="81" t="s">
        <v>93</v>
      </c>
      <c r="E354" s="70" t="s">
        <v>443</v>
      </c>
      <c r="F354" s="73">
        <f t="shared" si="156"/>
        <v>5353</v>
      </c>
      <c r="G354" s="73">
        <f t="shared" si="159"/>
        <v>5353</v>
      </c>
    </row>
    <row r="355" spans="1:7" ht="78.75">
      <c r="A355" s="69" t="s">
        <v>58</v>
      </c>
      <c r="B355" s="69" t="s">
        <v>125</v>
      </c>
      <c r="C355" s="69" t="s">
        <v>311</v>
      </c>
      <c r="D355" s="69" t="s">
        <v>93</v>
      </c>
      <c r="E355" s="70" t="s">
        <v>592</v>
      </c>
      <c r="F355" s="73">
        <f t="shared" si="156"/>
        <v>5353</v>
      </c>
      <c r="G355" s="73">
        <f t="shared" si="159"/>
        <v>5353</v>
      </c>
    </row>
    <row r="356" spans="1:7" ht="47.25">
      <c r="A356" s="69" t="s">
        <v>58</v>
      </c>
      <c r="B356" s="69" t="s">
        <v>125</v>
      </c>
      <c r="C356" s="69" t="s">
        <v>311</v>
      </c>
      <c r="D356" s="69" t="s">
        <v>99</v>
      </c>
      <c r="E356" s="70" t="s">
        <v>375</v>
      </c>
      <c r="F356" s="73">
        <f>4282.4+1070.6</f>
        <v>5353</v>
      </c>
      <c r="G356" s="73">
        <v>5353</v>
      </c>
    </row>
    <row r="357" spans="1:7" ht="12.75">
      <c r="A357" s="258" t="s">
        <v>19</v>
      </c>
      <c r="B357" s="69" t="s">
        <v>93</v>
      </c>
      <c r="C357" s="81" t="s">
        <v>93</v>
      </c>
      <c r="D357" s="81" t="s">
        <v>93</v>
      </c>
      <c r="E357" s="259" t="s">
        <v>4</v>
      </c>
      <c r="F357" s="157">
        <f>F358</f>
        <v>4059.6</v>
      </c>
      <c r="G357" s="157">
        <f aca="true" t="shared" si="160" ref="G357:G358">G358</f>
        <v>4015.9</v>
      </c>
    </row>
    <row r="358" spans="1:7" ht="12.75">
      <c r="A358" s="69" t="s">
        <v>19</v>
      </c>
      <c r="B358" s="69" t="s">
        <v>81</v>
      </c>
      <c r="C358" s="69" t="s">
        <v>93</v>
      </c>
      <c r="D358" s="69" t="s">
        <v>93</v>
      </c>
      <c r="E358" s="59" t="s">
        <v>26</v>
      </c>
      <c r="F358" s="73">
        <f>F359</f>
        <v>4059.6</v>
      </c>
      <c r="G358" s="73">
        <f t="shared" si="160"/>
        <v>4015.9</v>
      </c>
    </row>
    <row r="359" spans="1:7" ht="63">
      <c r="A359" s="69" t="s">
        <v>19</v>
      </c>
      <c r="B359" s="69" t="s">
        <v>69</v>
      </c>
      <c r="C359" s="69" t="s">
        <v>93</v>
      </c>
      <c r="D359" s="69" t="s">
        <v>93</v>
      </c>
      <c r="E359" s="70" t="s">
        <v>44</v>
      </c>
      <c r="F359" s="73">
        <f>F360</f>
        <v>4059.6</v>
      </c>
      <c r="G359" s="73">
        <f aca="true" t="shared" si="161" ref="G359:G360">G360</f>
        <v>4015.9</v>
      </c>
    </row>
    <row r="360" spans="1:7" ht="12.75">
      <c r="A360" s="69" t="s">
        <v>19</v>
      </c>
      <c r="B360" s="69" t="s">
        <v>69</v>
      </c>
      <c r="C360" s="69" t="s">
        <v>308</v>
      </c>
      <c r="D360" s="69" t="s">
        <v>93</v>
      </c>
      <c r="E360" s="70" t="s">
        <v>413</v>
      </c>
      <c r="F360" s="73">
        <f>F361</f>
        <v>4059.6</v>
      </c>
      <c r="G360" s="73">
        <f t="shared" si="161"/>
        <v>4015.9</v>
      </c>
    </row>
    <row r="361" spans="1:7" ht="47.25">
      <c r="A361" s="69" t="s">
        <v>19</v>
      </c>
      <c r="B361" s="69" t="s">
        <v>69</v>
      </c>
      <c r="C361" s="69" t="s">
        <v>444</v>
      </c>
      <c r="D361" s="69" t="s">
        <v>93</v>
      </c>
      <c r="E361" s="70" t="s">
        <v>5</v>
      </c>
      <c r="F361" s="73">
        <f>F362+F364</f>
        <v>4059.6</v>
      </c>
      <c r="G361" s="73">
        <f>G362+G364</f>
        <v>4015.9</v>
      </c>
    </row>
    <row r="362" spans="1:7" ht="12.75">
      <c r="A362" s="69" t="s">
        <v>19</v>
      </c>
      <c r="B362" s="69" t="s">
        <v>69</v>
      </c>
      <c r="C362" s="69" t="s">
        <v>272</v>
      </c>
      <c r="D362" s="69" t="s">
        <v>93</v>
      </c>
      <c r="E362" s="70" t="s">
        <v>445</v>
      </c>
      <c r="F362" s="73">
        <f>F363</f>
        <v>1292.5</v>
      </c>
      <c r="G362" s="73">
        <f aca="true" t="shared" si="162" ref="G362">G363</f>
        <v>1292.5</v>
      </c>
    </row>
    <row r="363" spans="1:7" ht="78.75">
      <c r="A363" s="69" t="s">
        <v>19</v>
      </c>
      <c r="B363" s="69" t="s">
        <v>69</v>
      </c>
      <c r="C363" s="69" t="s">
        <v>272</v>
      </c>
      <c r="D363" s="69" t="s">
        <v>95</v>
      </c>
      <c r="E363" s="70" t="s">
        <v>3</v>
      </c>
      <c r="F363" s="73">
        <f>1208.6+83.9</f>
        <v>1292.5</v>
      </c>
      <c r="G363" s="73">
        <v>1292.5</v>
      </c>
    </row>
    <row r="364" spans="1:7" ht="47.25">
      <c r="A364" s="69" t="s">
        <v>19</v>
      </c>
      <c r="B364" s="69" t="s">
        <v>69</v>
      </c>
      <c r="C364" s="69" t="s">
        <v>273</v>
      </c>
      <c r="D364" s="69" t="s">
        <v>93</v>
      </c>
      <c r="E364" s="70" t="s">
        <v>446</v>
      </c>
      <c r="F364" s="73">
        <f>F365+F366+F367</f>
        <v>2767.1</v>
      </c>
      <c r="G364" s="73">
        <f aca="true" t="shared" si="163" ref="G364">G365+G366+G367</f>
        <v>2723.4</v>
      </c>
    </row>
    <row r="365" spans="1:7" ht="78.75">
      <c r="A365" s="69" t="s">
        <v>19</v>
      </c>
      <c r="B365" s="69" t="s">
        <v>69</v>
      </c>
      <c r="C365" s="69" t="s">
        <v>273</v>
      </c>
      <c r="D365" s="69" t="s">
        <v>95</v>
      </c>
      <c r="E365" s="70" t="s">
        <v>3</v>
      </c>
      <c r="F365" s="73">
        <f>2004.4+101.4+86.2</f>
        <v>2192</v>
      </c>
      <c r="G365" s="73">
        <v>2192</v>
      </c>
    </row>
    <row r="366" spans="1:7" ht="31.5">
      <c r="A366" s="69" t="s">
        <v>19</v>
      </c>
      <c r="B366" s="69" t="s">
        <v>69</v>
      </c>
      <c r="C366" s="69" t="s">
        <v>273</v>
      </c>
      <c r="D366" s="69" t="s">
        <v>96</v>
      </c>
      <c r="E366" s="70" t="s">
        <v>329</v>
      </c>
      <c r="F366" s="73">
        <f>433.7-1.6+141.4</f>
        <v>573.5</v>
      </c>
      <c r="G366" s="73">
        <v>529.9</v>
      </c>
    </row>
    <row r="367" spans="1:7" ht="12.75">
      <c r="A367" s="69" t="s">
        <v>19</v>
      </c>
      <c r="B367" s="69" t="s">
        <v>69</v>
      </c>
      <c r="C367" s="69" t="s">
        <v>273</v>
      </c>
      <c r="D367" s="69" t="s">
        <v>97</v>
      </c>
      <c r="E367" s="70" t="s">
        <v>98</v>
      </c>
      <c r="F367" s="73">
        <v>1.6</v>
      </c>
      <c r="G367" s="73">
        <v>1.5</v>
      </c>
    </row>
    <row r="368" spans="1:7" ht="47.25">
      <c r="A368" s="258" t="s">
        <v>7</v>
      </c>
      <c r="B368" s="69" t="s">
        <v>93</v>
      </c>
      <c r="C368" s="81" t="s">
        <v>93</v>
      </c>
      <c r="D368" s="81" t="s">
        <v>93</v>
      </c>
      <c r="E368" s="259" t="s">
        <v>11</v>
      </c>
      <c r="F368" s="157">
        <f>F376+F424+F433+F369</f>
        <v>40934.7</v>
      </c>
      <c r="G368" s="157">
        <f>G376+G424+G433+G369</f>
        <v>40634.99999999999</v>
      </c>
    </row>
    <row r="369" spans="1:7" ht="12.75">
      <c r="A369" s="69" t="s">
        <v>7</v>
      </c>
      <c r="B369" s="69" t="s">
        <v>83</v>
      </c>
      <c r="C369" s="69" t="s">
        <v>93</v>
      </c>
      <c r="D369" s="69" t="s">
        <v>93</v>
      </c>
      <c r="E369" s="48" t="s">
        <v>48</v>
      </c>
      <c r="F369" s="73">
        <f aca="true" t="shared" si="164" ref="F369:F374">F370</f>
        <v>256.6</v>
      </c>
      <c r="G369" s="73">
        <f aca="true" t="shared" si="165" ref="G369:G373">G370</f>
        <v>256.6</v>
      </c>
    </row>
    <row r="370" spans="1:7" ht="22.9" customHeight="1">
      <c r="A370" s="69" t="s">
        <v>7</v>
      </c>
      <c r="B370" s="260" t="s">
        <v>530</v>
      </c>
      <c r="C370" s="81"/>
      <c r="D370" s="81"/>
      <c r="E370" s="70" t="s">
        <v>531</v>
      </c>
      <c r="F370" s="73">
        <f t="shared" si="164"/>
        <v>256.6</v>
      </c>
      <c r="G370" s="73">
        <f t="shared" si="165"/>
        <v>256.6</v>
      </c>
    </row>
    <row r="371" spans="1:7" ht="47.25">
      <c r="A371" s="69" t="s">
        <v>7</v>
      </c>
      <c r="B371" s="260" t="s">
        <v>530</v>
      </c>
      <c r="C371" s="69" t="s">
        <v>278</v>
      </c>
      <c r="D371" s="69" t="s">
        <v>93</v>
      </c>
      <c r="E371" s="70" t="s">
        <v>383</v>
      </c>
      <c r="F371" s="73">
        <f t="shared" si="164"/>
        <v>256.6</v>
      </c>
      <c r="G371" s="73">
        <f t="shared" si="165"/>
        <v>256.6</v>
      </c>
    </row>
    <row r="372" spans="1:7" ht="63">
      <c r="A372" s="69" t="s">
        <v>7</v>
      </c>
      <c r="B372" s="260" t="s">
        <v>530</v>
      </c>
      <c r="C372" s="69" t="s">
        <v>280</v>
      </c>
      <c r="D372" s="69" t="s">
        <v>93</v>
      </c>
      <c r="E372" s="70" t="s">
        <v>452</v>
      </c>
      <c r="F372" s="73">
        <f t="shared" si="164"/>
        <v>256.6</v>
      </c>
      <c r="G372" s="73">
        <f t="shared" si="165"/>
        <v>256.6</v>
      </c>
    </row>
    <row r="373" spans="1:7" ht="47.25">
      <c r="A373" s="69" t="s">
        <v>7</v>
      </c>
      <c r="B373" s="260" t="s">
        <v>530</v>
      </c>
      <c r="C373" s="69" t="s">
        <v>453</v>
      </c>
      <c r="D373" s="81" t="s">
        <v>93</v>
      </c>
      <c r="E373" s="70" t="s">
        <v>454</v>
      </c>
      <c r="F373" s="73">
        <f t="shared" si="164"/>
        <v>256.6</v>
      </c>
      <c r="G373" s="73">
        <f t="shared" si="165"/>
        <v>256.6</v>
      </c>
    </row>
    <row r="374" spans="1:7" ht="31.5">
      <c r="A374" s="69" t="s">
        <v>7</v>
      </c>
      <c r="B374" s="260" t="s">
        <v>530</v>
      </c>
      <c r="C374" s="69" t="s">
        <v>284</v>
      </c>
      <c r="D374" s="69" t="s">
        <v>93</v>
      </c>
      <c r="E374" s="70" t="s">
        <v>455</v>
      </c>
      <c r="F374" s="73">
        <f t="shared" si="164"/>
        <v>256.6</v>
      </c>
      <c r="G374" s="73">
        <f aca="true" t="shared" si="166" ref="G374">G375</f>
        <v>256.6</v>
      </c>
    </row>
    <row r="375" spans="1:7" ht="31.5">
      <c r="A375" s="69" t="s">
        <v>7</v>
      </c>
      <c r="B375" s="260" t="s">
        <v>530</v>
      </c>
      <c r="C375" s="69" t="s">
        <v>284</v>
      </c>
      <c r="D375" s="69" t="s">
        <v>397</v>
      </c>
      <c r="E375" s="70" t="s">
        <v>398</v>
      </c>
      <c r="F375" s="73">
        <v>256.6</v>
      </c>
      <c r="G375" s="73">
        <v>256.6</v>
      </c>
    </row>
    <row r="376" spans="1:7" ht="12.75">
      <c r="A376" s="69" t="s">
        <v>7</v>
      </c>
      <c r="B376" s="69" t="s">
        <v>62</v>
      </c>
      <c r="C376" s="69" t="s">
        <v>93</v>
      </c>
      <c r="D376" s="69" t="s">
        <v>93</v>
      </c>
      <c r="E376" s="70" t="s">
        <v>53</v>
      </c>
      <c r="F376" s="73">
        <f>F377+F399</f>
        <v>20339.4</v>
      </c>
      <c r="G376" s="73">
        <f>G377+G399</f>
        <v>20324.3</v>
      </c>
    </row>
    <row r="377" spans="1:7" ht="12.75">
      <c r="A377" s="69" t="s">
        <v>7</v>
      </c>
      <c r="B377" s="69" t="s">
        <v>319</v>
      </c>
      <c r="C377" s="69" t="s">
        <v>93</v>
      </c>
      <c r="D377" s="69" t="s">
        <v>93</v>
      </c>
      <c r="E377" s="70" t="s">
        <v>320</v>
      </c>
      <c r="F377" s="73">
        <f>F378+F395</f>
        <v>14741.8</v>
      </c>
      <c r="G377" s="73">
        <f aca="true" t="shared" si="167" ref="G377">G378+G395</f>
        <v>14726.699999999999</v>
      </c>
    </row>
    <row r="378" spans="1:7" ht="47.25">
      <c r="A378" s="69" t="s">
        <v>7</v>
      </c>
      <c r="B378" s="69" t="s">
        <v>319</v>
      </c>
      <c r="C378" s="69" t="s">
        <v>274</v>
      </c>
      <c r="D378" s="69" t="s">
        <v>93</v>
      </c>
      <c r="E378" s="70" t="s">
        <v>447</v>
      </c>
      <c r="F378" s="73">
        <f>F379</f>
        <v>14691.8</v>
      </c>
      <c r="G378" s="73">
        <f aca="true" t="shared" si="168" ref="G378:G379">G379</f>
        <v>14676.699999999999</v>
      </c>
    </row>
    <row r="379" spans="1:7" ht="31.5">
      <c r="A379" s="69" t="s">
        <v>7</v>
      </c>
      <c r="B379" s="69" t="s">
        <v>319</v>
      </c>
      <c r="C379" s="69" t="s">
        <v>275</v>
      </c>
      <c r="D379" s="69" t="s">
        <v>93</v>
      </c>
      <c r="E379" s="70" t="s">
        <v>138</v>
      </c>
      <c r="F379" s="73">
        <f>F380</f>
        <v>14691.8</v>
      </c>
      <c r="G379" s="73">
        <f t="shared" si="168"/>
        <v>14676.699999999999</v>
      </c>
    </row>
    <row r="380" spans="1:7" ht="63">
      <c r="A380" s="69" t="s">
        <v>7</v>
      </c>
      <c r="B380" s="69" t="s">
        <v>319</v>
      </c>
      <c r="C380" s="69" t="s">
        <v>448</v>
      </c>
      <c r="D380" s="81" t="s">
        <v>93</v>
      </c>
      <c r="E380" s="70" t="s">
        <v>449</v>
      </c>
      <c r="F380" s="73">
        <f>F385+F387+F389+F391+F381+F383+F393</f>
        <v>14691.8</v>
      </c>
      <c r="G380" s="73">
        <f aca="true" t="shared" si="169" ref="G380">G385+G387+G389+G391+G381+G383+G393</f>
        <v>14676.699999999999</v>
      </c>
    </row>
    <row r="381" spans="1:7" ht="63">
      <c r="A381" s="69" t="s">
        <v>7</v>
      </c>
      <c r="B381" s="69" t="s">
        <v>319</v>
      </c>
      <c r="C381" s="69" t="s">
        <v>596</v>
      </c>
      <c r="D381" s="69" t="s">
        <v>93</v>
      </c>
      <c r="E381" s="70" t="s">
        <v>597</v>
      </c>
      <c r="F381" s="73">
        <f>F382</f>
        <v>300</v>
      </c>
      <c r="G381" s="73">
        <f aca="true" t="shared" si="170" ref="G381">G382</f>
        <v>286.5</v>
      </c>
    </row>
    <row r="382" spans="1:7" ht="31.5">
      <c r="A382" s="69" t="s">
        <v>7</v>
      </c>
      <c r="B382" s="69" t="s">
        <v>319</v>
      </c>
      <c r="C382" s="69" t="s">
        <v>596</v>
      </c>
      <c r="D382" s="69" t="s">
        <v>397</v>
      </c>
      <c r="E382" s="70" t="s">
        <v>398</v>
      </c>
      <c r="F382" s="73">
        <v>300</v>
      </c>
      <c r="G382" s="73">
        <v>286.5</v>
      </c>
    </row>
    <row r="383" spans="1:7" ht="63">
      <c r="A383" s="69" t="s">
        <v>7</v>
      </c>
      <c r="B383" s="69" t="s">
        <v>319</v>
      </c>
      <c r="C383" s="69" t="s">
        <v>610</v>
      </c>
      <c r="D383" s="69" t="s">
        <v>93</v>
      </c>
      <c r="E383" s="70" t="s">
        <v>616</v>
      </c>
      <c r="F383" s="73">
        <f>F384</f>
        <v>1174</v>
      </c>
      <c r="G383" s="73">
        <f aca="true" t="shared" si="171" ref="G383">G384</f>
        <v>1173.9</v>
      </c>
    </row>
    <row r="384" spans="1:7" ht="31.5">
      <c r="A384" s="69" t="s">
        <v>7</v>
      </c>
      <c r="B384" s="69" t="s">
        <v>319</v>
      </c>
      <c r="C384" s="69" t="s">
        <v>610</v>
      </c>
      <c r="D384" s="69" t="s">
        <v>397</v>
      </c>
      <c r="E384" s="70" t="s">
        <v>398</v>
      </c>
      <c r="F384" s="73">
        <f>1078.2+95.8</f>
        <v>1174</v>
      </c>
      <c r="G384" s="73">
        <v>1173.9</v>
      </c>
    </row>
    <row r="385" spans="1:7" ht="63">
      <c r="A385" s="14" t="s">
        <v>7</v>
      </c>
      <c r="B385" s="14" t="s">
        <v>319</v>
      </c>
      <c r="C385" s="14" t="s">
        <v>276</v>
      </c>
      <c r="D385" s="256"/>
      <c r="E385" s="48" t="s">
        <v>139</v>
      </c>
      <c r="F385" s="73">
        <f>F386</f>
        <v>12457</v>
      </c>
      <c r="G385" s="73">
        <f aca="true" t="shared" si="172" ref="G385">G386</f>
        <v>12457</v>
      </c>
    </row>
    <row r="386" spans="1:7" ht="31.5">
      <c r="A386" s="14" t="s">
        <v>7</v>
      </c>
      <c r="B386" s="14" t="s">
        <v>319</v>
      </c>
      <c r="C386" s="14" t="s">
        <v>276</v>
      </c>
      <c r="D386" s="256">
        <v>600</v>
      </c>
      <c r="E386" s="48" t="s">
        <v>117</v>
      </c>
      <c r="F386" s="73">
        <f>12517.9-107.8+46.9</f>
        <v>12457</v>
      </c>
      <c r="G386" s="73">
        <v>12457</v>
      </c>
    </row>
    <row r="387" spans="1:7" ht="47.25">
      <c r="A387" s="69" t="s">
        <v>7</v>
      </c>
      <c r="B387" s="69" t="s">
        <v>319</v>
      </c>
      <c r="C387" s="69" t="s">
        <v>277</v>
      </c>
      <c r="D387" s="69" t="s">
        <v>93</v>
      </c>
      <c r="E387" s="70" t="s">
        <v>197</v>
      </c>
      <c r="F387" s="73">
        <f>F388</f>
        <v>440.7</v>
      </c>
      <c r="G387" s="73">
        <f aca="true" t="shared" si="173" ref="G387">G388</f>
        <v>440.7</v>
      </c>
    </row>
    <row r="388" spans="1:7" ht="31.5">
      <c r="A388" s="69" t="s">
        <v>7</v>
      </c>
      <c r="B388" s="69" t="s">
        <v>319</v>
      </c>
      <c r="C388" s="69" t="s">
        <v>277</v>
      </c>
      <c r="D388" s="69" t="s">
        <v>397</v>
      </c>
      <c r="E388" s="70" t="s">
        <v>398</v>
      </c>
      <c r="F388" s="73">
        <f>743.9-30-280.3+7.1</f>
        <v>440.7</v>
      </c>
      <c r="G388" s="73">
        <v>440.7</v>
      </c>
    </row>
    <row r="389" spans="1:7" ht="47.25">
      <c r="A389" s="69" t="s">
        <v>7</v>
      </c>
      <c r="B389" s="69" t="s">
        <v>319</v>
      </c>
      <c r="C389" s="69" t="s">
        <v>450</v>
      </c>
      <c r="D389" s="69" t="s">
        <v>93</v>
      </c>
      <c r="E389" s="70" t="s">
        <v>451</v>
      </c>
      <c r="F389" s="73">
        <f>F390</f>
        <v>178.9</v>
      </c>
      <c r="G389" s="73">
        <f aca="true" t="shared" si="174" ref="G389">G390</f>
        <v>178.9</v>
      </c>
    </row>
    <row r="390" spans="1:7" ht="31.5">
      <c r="A390" s="69" t="s">
        <v>7</v>
      </c>
      <c r="B390" s="69" t="s">
        <v>319</v>
      </c>
      <c r="C390" s="69" t="s">
        <v>450</v>
      </c>
      <c r="D390" s="69" t="s">
        <v>397</v>
      </c>
      <c r="E390" s="70" t="s">
        <v>398</v>
      </c>
      <c r="F390" s="73">
        <f>144-7.1+42</f>
        <v>178.9</v>
      </c>
      <c r="G390" s="73">
        <v>178.9</v>
      </c>
    </row>
    <row r="391" spans="1:7" ht="63">
      <c r="A391" s="69" t="s">
        <v>7</v>
      </c>
      <c r="B391" s="69" t="s">
        <v>319</v>
      </c>
      <c r="C391" s="69" t="s">
        <v>497</v>
      </c>
      <c r="D391" s="69" t="s">
        <v>93</v>
      </c>
      <c r="E391" s="70" t="s">
        <v>496</v>
      </c>
      <c r="F391" s="73">
        <f>E392:F392</f>
        <v>33.4</v>
      </c>
      <c r="G391" s="73">
        <f aca="true" t="shared" si="175" ref="G391">F392:G392</f>
        <v>31.9</v>
      </c>
    </row>
    <row r="392" spans="1:7" ht="31.5">
      <c r="A392" s="69" t="s">
        <v>7</v>
      </c>
      <c r="B392" s="69" t="s">
        <v>319</v>
      </c>
      <c r="C392" s="69" t="s">
        <v>497</v>
      </c>
      <c r="D392" s="69" t="s">
        <v>397</v>
      </c>
      <c r="E392" s="70" t="s">
        <v>398</v>
      </c>
      <c r="F392" s="73">
        <f>30+3.4</f>
        <v>33.4</v>
      </c>
      <c r="G392" s="73">
        <v>31.9</v>
      </c>
    </row>
    <row r="393" spans="1:7" ht="63">
      <c r="A393" s="69" t="s">
        <v>7</v>
      </c>
      <c r="B393" s="69" t="s">
        <v>319</v>
      </c>
      <c r="C393" s="69" t="s">
        <v>652</v>
      </c>
      <c r="D393" s="69" t="s">
        <v>93</v>
      </c>
      <c r="E393" s="48" t="s">
        <v>623</v>
      </c>
      <c r="F393" s="73">
        <f>F394</f>
        <v>107.8</v>
      </c>
      <c r="G393" s="73">
        <f aca="true" t="shared" si="176" ref="G393">G394</f>
        <v>107.8</v>
      </c>
    </row>
    <row r="394" spans="1:7" ht="31.5">
      <c r="A394" s="69" t="s">
        <v>7</v>
      </c>
      <c r="B394" s="69" t="s">
        <v>319</v>
      </c>
      <c r="C394" s="69" t="s">
        <v>652</v>
      </c>
      <c r="D394" s="69" t="s">
        <v>397</v>
      </c>
      <c r="E394" s="70" t="s">
        <v>398</v>
      </c>
      <c r="F394" s="73">
        <v>107.8</v>
      </c>
      <c r="G394" s="73">
        <v>107.8</v>
      </c>
    </row>
    <row r="395" spans="1:7" ht="12.75">
      <c r="A395" s="69" t="s">
        <v>7</v>
      </c>
      <c r="B395" s="69" t="s">
        <v>319</v>
      </c>
      <c r="C395" s="63">
        <v>9900000000</v>
      </c>
      <c r="D395" s="78"/>
      <c r="E395" s="65" t="s">
        <v>487</v>
      </c>
      <c r="F395" s="73">
        <f>F396</f>
        <v>50</v>
      </c>
      <c r="G395" s="73">
        <f aca="true" t="shared" si="177" ref="G395:G397">G396</f>
        <v>50</v>
      </c>
    </row>
    <row r="396" spans="1:7" ht="47.25">
      <c r="A396" s="69" t="s">
        <v>7</v>
      </c>
      <c r="B396" s="69" t="s">
        <v>319</v>
      </c>
      <c r="C396" s="63">
        <v>9950000000</v>
      </c>
      <c r="D396" s="15"/>
      <c r="E396" s="48" t="s">
        <v>602</v>
      </c>
      <c r="F396" s="73">
        <f>F397</f>
        <v>50</v>
      </c>
      <c r="G396" s="73">
        <f t="shared" si="177"/>
        <v>50</v>
      </c>
    </row>
    <row r="397" spans="1:7" ht="47.25">
      <c r="A397" s="69" t="s">
        <v>7</v>
      </c>
      <c r="B397" s="69" t="s">
        <v>319</v>
      </c>
      <c r="C397" s="63" t="s">
        <v>603</v>
      </c>
      <c r="D397" s="15"/>
      <c r="E397" s="48" t="s">
        <v>604</v>
      </c>
      <c r="F397" s="73">
        <f>F398</f>
        <v>50</v>
      </c>
      <c r="G397" s="73">
        <f t="shared" si="177"/>
        <v>50</v>
      </c>
    </row>
    <row r="398" spans="1:7" ht="31.5">
      <c r="A398" s="69" t="s">
        <v>7</v>
      </c>
      <c r="B398" s="69" t="s">
        <v>319</v>
      </c>
      <c r="C398" s="63" t="s">
        <v>603</v>
      </c>
      <c r="D398" s="256">
        <v>600</v>
      </c>
      <c r="E398" s="48" t="s">
        <v>117</v>
      </c>
      <c r="F398" s="73">
        <v>50</v>
      </c>
      <c r="G398" s="73">
        <v>50</v>
      </c>
    </row>
    <row r="399" spans="1:7" ht="12.75">
      <c r="A399" s="69" t="s">
        <v>7</v>
      </c>
      <c r="B399" s="69" t="s">
        <v>63</v>
      </c>
      <c r="C399" s="69" t="s">
        <v>93</v>
      </c>
      <c r="D399" s="69" t="s">
        <v>93</v>
      </c>
      <c r="E399" s="70" t="s">
        <v>486</v>
      </c>
      <c r="F399" s="73">
        <f>F400</f>
        <v>5597.6</v>
      </c>
      <c r="G399" s="73">
        <f aca="true" t="shared" si="178" ref="G399">G400</f>
        <v>5597.6</v>
      </c>
    </row>
    <row r="400" spans="1:7" ht="47.25">
      <c r="A400" s="69" t="s">
        <v>7</v>
      </c>
      <c r="B400" s="69" t="s">
        <v>63</v>
      </c>
      <c r="C400" s="69" t="s">
        <v>278</v>
      </c>
      <c r="D400" s="69" t="s">
        <v>93</v>
      </c>
      <c r="E400" s="70" t="s">
        <v>383</v>
      </c>
      <c r="F400" s="73">
        <f>F405+F401</f>
        <v>5597.6</v>
      </c>
      <c r="G400" s="73">
        <f>G405+G401</f>
        <v>5597.6</v>
      </c>
    </row>
    <row r="401" spans="1:7" ht="31.5">
      <c r="A401" s="14" t="s">
        <v>7</v>
      </c>
      <c r="B401" s="14" t="s">
        <v>63</v>
      </c>
      <c r="C401" s="14" t="s">
        <v>279</v>
      </c>
      <c r="D401" s="256"/>
      <c r="E401" s="48" t="s">
        <v>114</v>
      </c>
      <c r="F401" s="73">
        <f>F402</f>
        <v>236.1</v>
      </c>
      <c r="G401" s="73">
        <f aca="true" t="shared" si="179" ref="G401:G403">G402</f>
        <v>236.1</v>
      </c>
    </row>
    <row r="402" spans="1:7" ht="31.5">
      <c r="A402" s="14" t="s">
        <v>7</v>
      </c>
      <c r="B402" s="14" t="s">
        <v>63</v>
      </c>
      <c r="C402" s="14" t="s">
        <v>472</v>
      </c>
      <c r="D402" s="256"/>
      <c r="E402" s="48" t="s">
        <v>473</v>
      </c>
      <c r="F402" s="73">
        <f>F403</f>
        <v>236.1</v>
      </c>
      <c r="G402" s="73">
        <f t="shared" si="179"/>
        <v>236.1</v>
      </c>
    </row>
    <row r="403" spans="1:7" ht="31.5">
      <c r="A403" s="14" t="s">
        <v>7</v>
      </c>
      <c r="B403" s="14" t="s">
        <v>63</v>
      </c>
      <c r="C403" s="14" t="s">
        <v>560</v>
      </c>
      <c r="D403" s="256"/>
      <c r="E403" s="48" t="s">
        <v>563</v>
      </c>
      <c r="F403" s="73">
        <f>F404</f>
        <v>236.1</v>
      </c>
      <c r="G403" s="73">
        <f t="shared" si="179"/>
        <v>236.1</v>
      </c>
    </row>
    <row r="404" spans="1:7" ht="31.5">
      <c r="A404" s="14" t="s">
        <v>7</v>
      </c>
      <c r="B404" s="14" t="s">
        <v>63</v>
      </c>
      <c r="C404" s="14" t="s">
        <v>560</v>
      </c>
      <c r="D404" s="256">
        <v>600</v>
      </c>
      <c r="E404" s="68" t="s">
        <v>117</v>
      </c>
      <c r="F404" s="73">
        <v>236.1</v>
      </c>
      <c r="G404" s="73">
        <v>236.1</v>
      </c>
    </row>
    <row r="405" spans="1:7" ht="63">
      <c r="A405" s="69" t="s">
        <v>7</v>
      </c>
      <c r="B405" s="69" t="s">
        <v>63</v>
      </c>
      <c r="C405" s="69" t="s">
        <v>280</v>
      </c>
      <c r="D405" s="69" t="s">
        <v>93</v>
      </c>
      <c r="E405" s="70" t="s">
        <v>452</v>
      </c>
      <c r="F405" s="73">
        <f>F406+F421</f>
        <v>5361.5</v>
      </c>
      <c r="G405" s="73">
        <f>G406+G421</f>
        <v>5361.5</v>
      </c>
    </row>
    <row r="406" spans="1:7" ht="47.25">
      <c r="A406" s="69" t="s">
        <v>7</v>
      </c>
      <c r="B406" s="69" t="s">
        <v>63</v>
      </c>
      <c r="C406" s="69" t="s">
        <v>453</v>
      </c>
      <c r="D406" s="81" t="s">
        <v>93</v>
      </c>
      <c r="E406" s="70" t="s">
        <v>454</v>
      </c>
      <c r="F406" s="73">
        <f>F407+F409+F411+F413+F417+F419+F415</f>
        <v>5296.3</v>
      </c>
      <c r="G406" s="73">
        <f aca="true" t="shared" si="180" ref="G406">G407+G409+G411+G413+G417+G419+G415</f>
        <v>5296.3</v>
      </c>
    </row>
    <row r="407" spans="1:7" ht="31.5">
      <c r="A407" s="14" t="s">
        <v>7</v>
      </c>
      <c r="B407" s="14" t="s">
        <v>63</v>
      </c>
      <c r="C407" s="62" t="s">
        <v>283</v>
      </c>
      <c r="D407" s="62"/>
      <c r="E407" s="68" t="s">
        <v>135</v>
      </c>
      <c r="F407" s="73">
        <f>F408</f>
        <v>4962.5</v>
      </c>
      <c r="G407" s="73">
        <f aca="true" t="shared" si="181" ref="G407">G408</f>
        <v>4962.5</v>
      </c>
    </row>
    <row r="408" spans="1:7" ht="31.5">
      <c r="A408" s="14" t="s">
        <v>7</v>
      </c>
      <c r="B408" s="14" t="s">
        <v>63</v>
      </c>
      <c r="C408" s="62" t="s">
        <v>283</v>
      </c>
      <c r="D408" s="256">
        <v>600</v>
      </c>
      <c r="E408" s="48" t="s">
        <v>117</v>
      </c>
      <c r="F408" s="73">
        <f>4953.1+9.4</f>
        <v>4962.5</v>
      </c>
      <c r="G408" s="73">
        <v>4962.5</v>
      </c>
    </row>
    <row r="409" spans="1:7" ht="31.5">
      <c r="A409" s="69" t="s">
        <v>7</v>
      </c>
      <c r="B409" s="69" t="s">
        <v>63</v>
      </c>
      <c r="C409" s="69" t="s">
        <v>281</v>
      </c>
      <c r="D409" s="69" t="s">
        <v>93</v>
      </c>
      <c r="E409" s="70" t="s">
        <v>133</v>
      </c>
      <c r="F409" s="73">
        <f>F410</f>
        <v>19</v>
      </c>
      <c r="G409" s="73">
        <f aca="true" t="shared" si="182" ref="G409">G410</f>
        <v>19</v>
      </c>
    </row>
    <row r="410" spans="1:7" ht="12.75">
      <c r="A410" s="69" t="s">
        <v>7</v>
      </c>
      <c r="B410" s="69" t="s">
        <v>63</v>
      </c>
      <c r="C410" s="69" t="s">
        <v>281</v>
      </c>
      <c r="D410" s="69" t="s">
        <v>100</v>
      </c>
      <c r="E410" s="70" t="s">
        <v>101</v>
      </c>
      <c r="F410" s="73">
        <f>19.9-0.9</f>
        <v>19</v>
      </c>
      <c r="G410" s="73">
        <v>19</v>
      </c>
    </row>
    <row r="411" spans="1:7" ht="31.5">
      <c r="A411" s="69" t="s">
        <v>7</v>
      </c>
      <c r="B411" s="69" t="s">
        <v>63</v>
      </c>
      <c r="C411" s="69" t="s">
        <v>282</v>
      </c>
      <c r="D411" s="69" t="s">
        <v>93</v>
      </c>
      <c r="E411" s="70" t="s">
        <v>134</v>
      </c>
      <c r="F411" s="73">
        <f>F412</f>
        <v>13.5</v>
      </c>
      <c r="G411" s="73">
        <f aca="true" t="shared" si="183" ref="G411">G412</f>
        <v>13.5</v>
      </c>
    </row>
    <row r="412" spans="1:7" ht="31.5">
      <c r="A412" s="69" t="s">
        <v>7</v>
      </c>
      <c r="B412" s="69" t="s">
        <v>63</v>
      </c>
      <c r="C412" s="69" t="s">
        <v>282</v>
      </c>
      <c r="D412" s="69" t="s">
        <v>96</v>
      </c>
      <c r="E412" s="70" t="s">
        <v>329</v>
      </c>
      <c r="F412" s="73">
        <v>13.5</v>
      </c>
      <c r="G412" s="73">
        <v>13.5</v>
      </c>
    </row>
    <row r="413" spans="1:7" ht="31.5">
      <c r="A413" s="69" t="s">
        <v>7</v>
      </c>
      <c r="B413" s="69" t="s">
        <v>63</v>
      </c>
      <c r="C413" s="69" t="s">
        <v>285</v>
      </c>
      <c r="D413" s="69" t="s">
        <v>93</v>
      </c>
      <c r="E413" s="70" t="s">
        <v>136</v>
      </c>
      <c r="F413" s="73">
        <f>F414</f>
        <v>47.6</v>
      </c>
      <c r="G413" s="73">
        <f aca="true" t="shared" si="184" ref="G413">G414</f>
        <v>47.6</v>
      </c>
    </row>
    <row r="414" spans="1:7" ht="31.5">
      <c r="A414" s="69" t="s">
        <v>7</v>
      </c>
      <c r="B414" s="69" t="s">
        <v>63</v>
      </c>
      <c r="C414" s="69" t="s">
        <v>285</v>
      </c>
      <c r="D414" s="69" t="s">
        <v>397</v>
      </c>
      <c r="E414" s="70" t="s">
        <v>398</v>
      </c>
      <c r="F414" s="73">
        <v>47.6</v>
      </c>
      <c r="G414" s="73">
        <v>47.6</v>
      </c>
    </row>
    <row r="415" spans="1:7" ht="31.5">
      <c r="A415" s="14" t="s">
        <v>7</v>
      </c>
      <c r="B415" s="14" t="s">
        <v>63</v>
      </c>
      <c r="C415" s="62" t="s">
        <v>647</v>
      </c>
      <c r="D415" s="62"/>
      <c r="E415" s="68" t="s">
        <v>648</v>
      </c>
      <c r="F415" s="73">
        <f>F416</f>
        <v>196</v>
      </c>
      <c r="G415" s="73">
        <f aca="true" t="shared" si="185" ref="G415">G416</f>
        <v>196</v>
      </c>
    </row>
    <row r="416" spans="1:7" ht="31.5">
      <c r="A416" s="14" t="s">
        <v>7</v>
      </c>
      <c r="B416" s="14" t="s">
        <v>63</v>
      </c>
      <c r="C416" s="62" t="s">
        <v>647</v>
      </c>
      <c r="D416" s="256">
        <v>600</v>
      </c>
      <c r="E416" s="48" t="s">
        <v>117</v>
      </c>
      <c r="F416" s="73">
        <v>196</v>
      </c>
      <c r="G416" s="73">
        <v>196</v>
      </c>
    </row>
    <row r="417" spans="1:7" ht="31.5">
      <c r="A417" s="69" t="s">
        <v>7</v>
      </c>
      <c r="B417" s="69" t="s">
        <v>63</v>
      </c>
      <c r="C417" s="69" t="s">
        <v>309</v>
      </c>
      <c r="D417" s="69" t="s">
        <v>93</v>
      </c>
      <c r="E417" s="70" t="s">
        <v>198</v>
      </c>
      <c r="F417" s="73">
        <f>F418</f>
        <v>21.7</v>
      </c>
      <c r="G417" s="73">
        <f aca="true" t="shared" si="186" ref="G417">G418</f>
        <v>21.7</v>
      </c>
    </row>
    <row r="418" spans="1:7" ht="31.5">
      <c r="A418" s="69" t="s">
        <v>7</v>
      </c>
      <c r="B418" s="69" t="s">
        <v>63</v>
      </c>
      <c r="C418" s="69" t="s">
        <v>309</v>
      </c>
      <c r="D418" s="69" t="s">
        <v>96</v>
      </c>
      <c r="E418" s="70" t="s">
        <v>329</v>
      </c>
      <c r="F418" s="73">
        <f>21.7</f>
        <v>21.7</v>
      </c>
      <c r="G418" s="73">
        <v>21.7</v>
      </c>
    </row>
    <row r="419" spans="1:7" ht="31.5">
      <c r="A419" s="69" t="s">
        <v>7</v>
      </c>
      <c r="B419" s="69" t="s">
        <v>63</v>
      </c>
      <c r="C419" s="69" t="s">
        <v>456</v>
      </c>
      <c r="D419" s="69" t="s">
        <v>93</v>
      </c>
      <c r="E419" s="70" t="s">
        <v>457</v>
      </c>
      <c r="F419" s="73">
        <f>F420</f>
        <v>36</v>
      </c>
      <c r="G419" s="73">
        <f aca="true" t="shared" si="187" ref="G419">G420</f>
        <v>36</v>
      </c>
    </row>
    <row r="420" spans="1:7" ht="12.75">
      <c r="A420" s="69" t="s">
        <v>7</v>
      </c>
      <c r="B420" s="69" t="s">
        <v>63</v>
      </c>
      <c r="C420" s="69" t="s">
        <v>456</v>
      </c>
      <c r="D420" s="69" t="s">
        <v>100</v>
      </c>
      <c r="E420" s="70" t="s">
        <v>101</v>
      </c>
      <c r="F420" s="73">
        <v>36</v>
      </c>
      <c r="G420" s="73">
        <v>36</v>
      </c>
    </row>
    <row r="421" spans="1:7" ht="31.5">
      <c r="A421" s="69" t="s">
        <v>7</v>
      </c>
      <c r="B421" s="69" t="s">
        <v>63</v>
      </c>
      <c r="C421" s="69" t="s">
        <v>458</v>
      </c>
      <c r="D421" s="81" t="s">
        <v>93</v>
      </c>
      <c r="E421" s="70" t="s">
        <v>459</v>
      </c>
      <c r="F421" s="73">
        <f>F422</f>
        <v>65.2</v>
      </c>
      <c r="G421" s="73">
        <f aca="true" t="shared" si="188" ref="G421">G422</f>
        <v>65.2</v>
      </c>
    </row>
    <row r="422" spans="1:7" ht="63">
      <c r="A422" s="69" t="s">
        <v>7</v>
      </c>
      <c r="B422" s="69" t="s">
        <v>63</v>
      </c>
      <c r="C422" s="69" t="s">
        <v>460</v>
      </c>
      <c r="D422" s="69" t="s">
        <v>93</v>
      </c>
      <c r="E422" s="70" t="s">
        <v>137</v>
      </c>
      <c r="F422" s="73">
        <f>F423</f>
        <v>65.2</v>
      </c>
      <c r="G422" s="73">
        <f aca="true" t="shared" si="189" ref="G422">G423</f>
        <v>65.2</v>
      </c>
    </row>
    <row r="423" spans="1:7" ht="31.5">
      <c r="A423" s="69" t="s">
        <v>7</v>
      </c>
      <c r="B423" s="69" t="s">
        <v>63</v>
      </c>
      <c r="C423" s="69" t="s">
        <v>460</v>
      </c>
      <c r="D423" s="69" t="s">
        <v>397</v>
      </c>
      <c r="E423" s="70" t="s">
        <v>398</v>
      </c>
      <c r="F423" s="73">
        <v>65.2</v>
      </c>
      <c r="G423" s="73">
        <v>65.2</v>
      </c>
    </row>
    <row r="424" spans="1:7" ht="12.75">
      <c r="A424" s="69" t="s">
        <v>7</v>
      </c>
      <c r="B424" s="69" t="s">
        <v>64</v>
      </c>
      <c r="C424" s="69" t="s">
        <v>93</v>
      </c>
      <c r="D424" s="69" t="s">
        <v>93</v>
      </c>
      <c r="E424" s="70" t="s">
        <v>56</v>
      </c>
      <c r="F424" s="73">
        <f aca="true" t="shared" si="190" ref="F424:F429">F425</f>
        <v>3546.8</v>
      </c>
      <c r="G424" s="73">
        <f aca="true" t="shared" si="191" ref="G424:G429">G425</f>
        <v>3546.8</v>
      </c>
    </row>
    <row r="425" spans="1:7" ht="12.75">
      <c r="A425" s="69" t="s">
        <v>7</v>
      </c>
      <c r="B425" s="69" t="s">
        <v>65</v>
      </c>
      <c r="C425" s="69" t="s">
        <v>93</v>
      </c>
      <c r="D425" s="69" t="s">
        <v>93</v>
      </c>
      <c r="E425" s="70" t="s">
        <v>59</v>
      </c>
      <c r="F425" s="73">
        <f t="shared" si="190"/>
        <v>3546.8</v>
      </c>
      <c r="G425" s="73">
        <f t="shared" si="191"/>
        <v>3546.8</v>
      </c>
    </row>
    <row r="426" spans="1:7" ht="63">
      <c r="A426" s="69" t="s">
        <v>7</v>
      </c>
      <c r="B426" s="69" t="s">
        <v>65</v>
      </c>
      <c r="C426" s="69" t="s">
        <v>235</v>
      </c>
      <c r="D426" s="69" t="s">
        <v>93</v>
      </c>
      <c r="E426" s="70" t="s">
        <v>440</v>
      </c>
      <c r="F426" s="73">
        <f t="shared" si="190"/>
        <v>3546.8</v>
      </c>
      <c r="G426" s="73">
        <f t="shared" si="191"/>
        <v>3546.8</v>
      </c>
    </row>
    <row r="427" spans="1:7" ht="31.5">
      <c r="A427" s="69" t="s">
        <v>7</v>
      </c>
      <c r="B427" s="69" t="s">
        <v>65</v>
      </c>
      <c r="C427" s="69" t="s">
        <v>286</v>
      </c>
      <c r="D427" s="69" t="s">
        <v>93</v>
      </c>
      <c r="E427" s="70" t="s">
        <v>168</v>
      </c>
      <c r="F427" s="73">
        <f t="shared" si="190"/>
        <v>3546.8</v>
      </c>
      <c r="G427" s="73">
        <f t="shared" si="191"/>
        <v>3546.8</v>
      </c>
    </row>
    <row r="428" spans="1:7" ht="31.5">
      <c r="A428" s="69" t="s">
        <v>7</v>
      </c>
      <c r="B428" s="69" t="s">
        <v>65</v>
      </c>
      <c r="C428" s="69" t="s">
        <v>461</v>
      </c>
      <c r="D428" s="81" t="s">
        <v>93</v>
      </c>
      <c r="E428" s="70" t="s">
        <v>462</v>
      </c>
      <c r="F428" s="73">
        <f>F429+F431</f>
        <v>3546.8</v>
      </c>
      <c r="G428" s="73">
        <f aca="true" t="shared" si="192" ref="G428">G429+G431</f>
        <v>3546.8</v>
      </c>
    </row>
    <row r="429" spans="1:7" ht="31.5">
      <c r="A429" s="69" t="s">
        <v>7</v>
      </c>
      <c r="B429" s="69" t="s">
        <v>65</v>
      </c>
      <c r="C429" s="69" t="s">
        <v>463</v>
      </c>
      <c r="D429" s="69" t="s">
        <v>93</v>
      </c>
      <c r="E429" s="70" t="s">
        <v>169</v>
      </c>
      <c r="F429" s="73">
        <f t="shared" si="190"/>
        <v>1762.7</v>
      </c>
      <c r="G429" s="73">
        <f t="shared" si="191"/>
        <v>1762.7</v>
      </c>
    </row>
    <row r="430" spans="1:7" ht="12.75">
      <c r="A430" s="69" t="s">
        <v>7</v>
      </c>
      <c r="B430" s="69" t="s">
        <v>65</v>
      </c>
      <c r="C430" s="69" t="s">
        <v>463</v>
      </c>
      <c r="D430" s="69" t="s">
        <v>100</v>
      </c>
      <c r="E430" s="70" t="s">
        <v>101</v>
      </c>
      <c r="F430" s="73">
        <f>1834.2-71.5</f>
        <v>1762.7</v>
      </c>
      <c r="G430" s="73">
        <v>1762.7</v>
      </c>
    </row>
    <row r="431" spans="1:7" ht="47.25">
      <c r="A431" s="69" t="s">
        <v>7</v>
      </c>
      <c r="B431" s="69" t="s">
        <v>65</v>
      </c>
      <c r="C431" s="69" t="s">
        <v>567</v>
      </c>
      <c r="D431" s="69" t="s">
        <v>93</v>
      </c>
      <c r="E431" s="70" t="s">
        <v>568</v>
      </c>
      <c r="F431" s="73">
        <f>F432</f>
        <v>1784.1</v>
      </c>
      <c r="G431" s="73">
        <f aca="true" t="shared" si="193" ref="G431">G432</f>
        <v>1784.1</v>
      </c>
    </row>
    <row r="432" spans="1:7" ht="12.75">
      <c r="A432" s="69" t="s">
        <v>7</v>
      </c>
      <c r="B432" s="69" t="s">
        <v>65</v>
      </c>
      <c r="C432" s="69" t="s">
        <v>567</v>
      </c>
      <c r="D432" s="69" t="s">
        <v>100</v>
      </c>
      <c r="E432" s="70" t="s">
        <v>101</v>
      </c>
      <c r="F432" s="73">
        <v>1784.1</v>
      </c>
      <c r="G432" s="73">
        <v>1784.1</v>
      </c>
    </row>
    <row r="433" spans="1:7" ht="12.75">
      <c r="A433" s="69" t="s">
        <v>7</v>
      </c>
      <c r="B433" s="69" t="s">
        <v>88</v>
      </c>
      <c r="C433" s="69" t="s">
        <v>93</v>
      </c>
      <c r="D433" s="69" t="s">
        <v>93</v>
      </c>
      <c r="E433" s="70" t="s">
        <v>55</v>
      </c>
      <c r="F433" s="73">
        <f>F434+F451</f>
        <v>16791.899999999998</v>
      </c>
      <c r="G433" s="73">
        <f>G434+G451</f>
        <v>16507.3</v>
      </c>
    </row>
    <row r="434" spans="1:7" ht="12.75">
      <c r="A434" s="69" t="s">
        <v>7</v>
      </c>
      <c r="B434" s="69" t="s">
        <v>140</v>
      </c>
      <c r="C434" s="69" t="s">
        <v>93</v>
      </c>
      <c r="D434" s="69" t="s">
        <v>93</v>
      </c>
      <c r="E434" s="70" t="s">
        <v>89</v>
      </c>
      <c r="F434" s="73">
        <f>F435</f>
        <v>14381.699999999999</v>
      </c>
      <c r="G434" s="73">
        <f aca="true" t="shared" si="194" ref="G434:G435">G435</f>
        <v>14097.099999999999</v>
      </c>
    </row>
    <row r="435" spans="1:7" ht="47.25">
      <c r="A435" s="69" t="s">
        <v>7</v>
      </c>
      <c r="B435" s="69" t="s">
        <v>140</v>
      </c>
      <c r="C435" s="69" t="s">
        <v>274</v>
      </c>
      <c r="D435" s="69" t="s">
        <v>93</v>
      </c>
      <c r="E435" s="70" t="s">
        <v>447</v>
      </c>
      <c r="F435" s="73">
        <f>F436</f>
        <v>14381.699999999999</v>
      </c>
      <c r="G435" s="73">
        <f t="shared" si="194"/>
        <v>14097.099999999999</v>
      </c>
    </row>
    <row r="436" spans="1:7" ht="31.5">
      <c r="A436" s="69" t="s">
        <v>7</v>
      </c>
      <c r="B436" s="69" t="s">
        <v>140</v>
      </c>
      <c r="C436" s="69" t="s">
        <v>275</v>
      </c>
      <c r="D436" s="69" t="s">
        <v>93</v>
      </c>
      <c r="E436" s="70" t="s">
        <v>138</v>
      </c>
      <c r="F436" s="73">
        <f>F437+F446</f>
        <v>14381.699999999999</v>
      </c>
      <c r="G436" s="73">
        <f aca="true" t="shared" si="195" ref="G436">G437+G446</f>
        <v>14097.099999999999</v>
      </c>
    </row>
    <row r="437" spans="1:7" ht="63">
      <c r="A437" s="69" t="s">
        <v>7</v>
      </c>
      <c r="B437" s="69" t="s">
        <v>140</v>
      </c>
      <c r="C437" s="69" t="s">
        <v>464</v>
      </c>
      <c r="D437" s="81" t="s">
        <v>93</v>
      </c>
      <c r="E437" s="70" t="s">
        <v>465</v>
      </c>
      <c r="F437" s="73">
        <f>F438+F440+F444</f>
        <v>11147.199999999999</v>
      </c>
      <c r="G437" s="73">
        <f aca="true" t="shared" si="196" ref="G437">G438+G440+G444</f>
        <v>11147.099999999999</v>
      </c>
    </row>
    <row r="438" spans="1:7" ht="47.25">
      <c r="A438" s="14" t="s">
        <v>7</v>
      </c>
      <c r="B438" s="14" t="s">
        <v>140</v>
      </c>
      <c r="C438" s="14" t="s">
        <v>288</v>
      </c>
      <c r="D438" s="256"/>
      <c r="E438" s="48" t="s">
        <v>142</v>
      </c>
      <c r="F438" s="73">
        <f>F439</f>
        <v>9824.9</v>
      </c>
      <c r="G438" s="73">
        <f aca="true" t="shared" si="197" ref="G438">G439</f>
        <v>9824.9</v>
      </c>
    </row>
    <row r="439" spans="1:7" ht="31.5">
      <c r="A439" s="14" t="s">
        <v>7</v>
      </c>
      <c r="B439" s="14" t="s">
        <v>140</v>
      </c>
      <c r="C439" s="14" t="s">
        <v>288</v>
      </c>
      <c r="D439" s="256">
        <v>600</v>
      </c>
      <c r="E439" s="48" t="s">
        <v>117</v>
      </c>
      <c r="F439" s="73">
        <f>9799.1+25.8</f>
        <v>9824.9</v>
      </c>
      <c r="G439" s="73">
        <v>9824.9</v>
      </c>
    </row>
    <row r="440" spans="1:7" ht="31.5">
      <c r="A440" s="69" t="s">
        <v>7</v>
      </c>
      <c r="B440" s="69" t="s">
        <v>140</v>
      </c>
      <c r="C440" s="69" t="s">
        <v>287</v>
      </c>
      <c r="D440" s="69" t="s">
        <v>93</v>
      </c>
      <c r="E440" s="70" t="s">
        <v>141</v>
      </c>
      <c r="F440" s="73">
        <f>F441+F442+F443</f>
        <v>1070.4</v>
      </c>
      <c r="G440" s="73">
        <f aca="true" t="shared" si="198" ref="G440">G441+G442+G443</f>
        <v>1070.3</v>
      </c>
    </row>
    <row r="441" spans="1:7" ht="78.75">
      <c r="A441" s="69" t="s">
        <v>7</v>
      </c>
      <c r="B441" s="69" t="s">
        <v>140</v>
      </c>
      <c r="C441" s="69" t="s">
        <v>287</v>
      </c>
      <c r="D441" s="69" t="s">
        <v>95</v>
      </c>
      <c r="E441" s="70" t="s">
        <v>3</v>
      </c>
      <c r="F441" s="73">
        <f>544.5-10</f>
        <v>534.5</v>
      </c>
      <c r="G441" s="73">
        <v>534.4</v>
      </c>
    </row>
    <row r="442" spans="1:7" ht="31.5">
      <c r="A442" s="69" t="s">
        <v>7</v>
      </c>
      <c r="B442" s="69" t="s">
        <v>140</v>
      </c>
      <c r="C442" s="69" t="s">
        <v>287</v>
      </c>
      <c r="D442" s="69" t="s">
        <v>96</v>
      </c>
      <c r="E442" s="70" t="s">
        <v>329</v>
      </c>
      <c r="F442" s="73">
        <f>455.1-15.7</f>
        <v>439.40000000000003</v>
      </c>
      <c r="G442" s="73">
        <v>439.4</v>
      </c>
    </row>
    <row r="443" spans="1:7" ht="12.75">
      <c r="A443" s="69" t="s">
        <v>7</v>
      </c>
      <c r="B443" s="69" t="s">
        <v>140</v>
      </c>
      <c r="C443" s="69" t="s">
        <v>287</v>
      </c>
      <c r="D443" s="69" t="s">
        <v>97</v>
      </c>
      <c r="E443" s="70" t="s">
        <v>98</v>
      </c>
      <c r="F443" s="73">
        <f>70.8+15.7+10</f>
        <v>96.5</v>
      </c>
      <c r="G443" s="73">
        <v>96.5</v>
      </c>
    </row>
    <row r="444" spans="1:7" ht="63">
      <c r="A444" s="69" t="s">
        <v>7</v>
      </c>
      <c r="B444" s="69" t="s">
        <v>140</v>
      </c>
      <c r="C444" s="69" t="s">
        <v>289</v>
      </c>
      <c r="D444" s="69" t="s">
        <v>93</v>
      </c>
      <c r="E444" s="70" t="s">
        <v>143</v>
      </c>
      <c r="F444" s="73">
        <f>F445</f>
        <v>251.9</v>
      </c>
      <c r="G444" s="73">
        <f aca="true" t="shared" si="199" ref="G444">G445</f>
        <v>251.9</v>
      </c>
    </row>
    <row r="445" spans="1:7" ht="31.5">
      <c r="A445" s="69" t="s">
        <v>7</v>
      </c>
      <c r="B445" s="69" t="s">
        <v>140</v>
      </c>
      <c r="C445" s="69" t="s">
        <v>289</v>
      </c>
      <c r="D445" s="69" t="s">
        <v>397</v>
      </c>
      <c r="E445" s="70" t="s">
        <v>398</v>
      </c>
      <c r="F445" s="73">
        <v>251.9</v>
      </c>
      <c r="G445" s="73">
        <v>251.9</v>
      </c>
    </row>
    <row r="446" spans="1:7" ht="94.5">
      <c r="A446" s="69" t="s">
        <v>7</v>
      </c>
      <c r="B446" s="69" t="s">
        <v>140</v>
      </c>
      <c r="C446" s="69" t="s">
        <v>466</v>
      </c>
      <c r="D446" s="81" t="s">
        <v>93</v>
      </c>
      <c r="E446" s="70" t="s">
        <v>467</v>
      </c>
      <c r="F446" s="73">
        <f>F449+F447</f>
        <v>3234.5</v>
      </c>
      <c r="G446" s="73">
        <f aca="true" t="shared" si="200" ref="G446">G449+G447</f>
        <v>2950</v>
      </c>
    </row>
    <row r="447" spans="1:7" ht="78.75">
      <c r="A447" s="69" t="s">
        <v>7</v>
      </c>
      <c r="B447" s="69" t="s">
        <v>140</v>
      </c>
      <c r="C447" s="69" t="s">
        <v>581</v>
      </c>
      <c r="D447" s="69" t="s">
        <v>93</v>
      </c>
      <c r="E447" s="70" t="s">
        <v>582</v>
      </c>
      <c r="F447" s="73">
        <f>F448</f>
        <v>2467.2</v>
      </c>
      <c r="G447" s="73">
        <f aca="true" t="shared" si="201" ref="G447">G448</f>
        <v>2234.7</v>
      </c>
    </row>
    <row r="448" spans="1:7" ht="31.5">
      <c r="A448" s="69" t="s">
        <v>7</v>
      </c>
      <c r="B448" s="69" t="s">
        <v>140</v>
      </c>
      <c r="C448" s="69" t="s">
        <v>581</v>
      </c>
      <c r="D448" s="69" t="s">
        <v>96</v>
      </c>
      <c r="E448" s="70" t="s">
        <v>329</v>
      </c>
      <c r="F448" s="73">
        <v>2467.2</v>
      </c>
      <c r="G448" s="73">
        <v>2234.7</v>
      </c>
    </row>
    <row r="449" spans="1:7" ht="78.75">
      <c r="A449" s="69" t="s">
        <v>7</v>
      </c>
      <c r="B449" s="69" t="s">
        <v>140</v>
      </c>
      <c r="C449" s="69" t="s">
        <v>495</v>
      </c>
      <c r="D449" s="69" t="s">
        <v>93</v>
      </c>
      <c r="E449" s="70" t="s">
        <v>577</v>
      </c>
      <c r="F449" s="73">
        <f>F450</f>
        <v>767.3</v>
      </c>
      <c r="G449" s="73">
        <f aca="true" t="shared" si="202" ref="G449">G450</f>
        <v>715.3</v>
      </c>
    </row>
    <row r="450" spans="1:7" ht="31.5">
      <c r="A450" s="69" t="s">
        <v>7</v>
      </c>
      <c r="B450" s="69" t="s">
        <v>140</v>
      </c>
      <c r="C450" s="69" t="s">
        <v>495</v>
      </c>
      <c r="D450" s="69" t="s">
        <v>96</v>
      </c>
      <c r="E450" s="70" t="s">
        <v>329</v>
      </c>
      <c r="F450" s="73">
        <f>506+276.9-15.6</f>
        <v>767.3</v>
      </c>
      <c r="G450" s="73">
        <v>715.3</v>
      </c>
    </row>
    <row r="451" spans="1:7" ht="31.5">
      <c r="A451" s="69" t="s">
        <v>7</v>
      </c>
      <c r="B451" s="69" t="s">
        <v>144</v>
      </c>
      <c r="C451" s="69" t="s">
        <v>93</v>
      </c>
      <c r="D451" s="69" t="s">
        <v>93</v>
      </c>
      <c r="E451" s="70" t="s">
        <v>0</v>
      </c>
      <c r="F451" s="73">
        <f>F452</f>
        <v>2410.2</v>
      </c>
      <c r="G451" s="73">
        <f aca="true" t="shared" si="203" ref="G451">G452</f>
        <v>2410.2</v>
      </c>
    </row>
    <row r="452" spans="1:7" ht="47.25">
      <c r="A452" s="69" t="s">
        <v>7</v>
      </c>
      <c r="B452" s="69" t="s">
        <v>144</v>
      </c>
      <c r="C452" s="69" t="s">
        <v>274</v>
      </c>
      <c r="D452" s="69" t="s">
        <v>93</v>
      </c>
      <c r="E452" s="70" t="s">
        <v>447</v>
      </c>
      <c r="F452" s="73">
        <f>F453</f>
        <v>2410.2</v>
      </c>
      <c r="G452" s="73">
        <f aca="true" t="shared" si="204" ref="G452:G454">G453</f>
        <v>2410.2</v>
      </c>
    </row>
    <row r="453" spans="1:7" ht="12.75">
      <c r="A453" s="69" t="s">
        <v>7</v>
      </c>
      <c r="B453" s="69" t="s">
        <v>144</v>
      </c>
      <c r="C453" s="69" t="s">
        <v>290</v>
      </c>
      <c r="D453" s="69" t="s">
        <v>93</v>
      </c>
      <c r="E453" s="70" t="s">
        <v>2</v>
      </c>
      <c r="F453" s="73">
        <f>F454</f>
        <v>2410.2</v>
      </c>
      <c r="G453" s="73">
        <f t="shared" si="204"/>
        <v>2410.2</v>
      </c>
    </row>
    <row r="454" spans="1:7" ht="12.75">
      <c r="A454" s="69" t="s">
        <v>7</v>
      </c>
      <c r="B454" s="69" t="s">
        <v>144</v>
      </c>
      <c r="C454" s="69" t="s">
        <v>468</v>
      </c>
      <c r="D454" s="81" t="s">
        <v>93</v>
      </c>
      <c r="E454" s="70" t="s">
        <v>412</v>
      </c>
      <c r="F454" s="73">
        <f>F455</f>
        <v>2410.2</v>
      </c>
      <c r="G454" s="73">
        <f t="shared" si="204"/>
        <v>2410.2</v>
      </c>
    </row>
    <row r="455" spans="1:7" ht="78.75">
      <c r="A455" s="69" t="s">
        <v>7</v>
      </c>
      <c r="B455" s="69" t="s">
        <v>144</v>
      </c>
      <c r="C455" s="69" t="s">
        <v>291</v>
      </c>
      <c r="D455" s="69" t="s">
        <v>93</v>
      </c>
      <c r="E455" s="70" t="s">
        <v>330</v>
      </c>
      <c r="F455" s="73">
        <f>F456+F457+F458</f>
        <v>2410.2</v>
      </c>
      <c r="G455" s="73">
        <f aca="true" t="shared" si="205" ref="G455">G456+G457+G458</f>
        <v>2410.2</v>
      </c>
    </row>
    <row r="456" spans="1:7" ht="78.75">
      <c r="A456" s="69" t="s">
        <v>7</v>
      </c>
      <c r="B456" s="69" t="s">
        <v>144</v>
      </c>
      <c r="C456" s="69" t="s">
        <v>291</v>
      </c>
      <c r="D456" s="69" t="s">
        <v>95</v>
      </c>
      <c r="E456" s="70" t="s">
        <v>3</v>
      </c>
      <c r="F456" s="73">
        <f>2035.7+103</f>
        <v>2138.7</v>
      </c>
      <c r="G456" s="73">
        <v>2138.7</v>
      </c>
    </row>
    <row r="457" spans="1:7" ht="31.5">
      <c r="A457" s="69" t="s">
        <v>7</v>
      </c>
      <c r="B457" s="69" t="s">
        <v>144</v>
      </c>
      <c r="C457" s="69" t="s">
        <v>291</v>
      </c>
      <c r="D457" s="69" t="s">
        <v>96</v>
      </c>
      <c r="E457" s="70" t="s">
        <v>329</v>
      </c>
      <c r="F457" s="73">
        <f>253.2+17.8</f>
        <v>271</v>
      </c>
      <c r="G457" s="73">
        <v>271</v>
      </c>
    </row>
    <row r="458" spans="1:7" ht="12.75">
      <c r="A458" s="69" t="s">
        <v>7</v>
      </c>
      <c r="B458" s="69" t="s">
        <v>144</v>
      </c>
      <c r="C458" s="69" t="s">
        <v>291</v>
      </c>
      <c r="D458" s="69" t="s">
        <v>97</v>
      </c>
      <c r="E458" s="70" t="s">
        <v>98</v>
      </c>
      <c r="F458" s="73">
        <f>0.6-0.1</f>
        <v>0.5</v>
      </c>
      <c r="G458" s="73">
        <v>0.5</v>
      </c>
    </row>
    <row r="459" spans="1:7" ht="31.5">
      <c r="A459" s="258" t="s">
        <v>14</v>
      </c>
      <c r="B459" s="69" t="s">
        <v>93</v>
      </c>
      <c r="C459" s="81" t="s">
        <v>93</v>
      </c>
      <c r="D459" s="81" t="s">
        <v>93</v>
      </c>
      <c r="E459" s="259" t="s">
        <v>504</v>
      </c>
      <c r="F459" s="157">
        <f>F460+F561</f>
        <v>445399</v>
      </c>
      <c r="G459" s="157">
        <f>G460+G561</f>
        <v>443284.39999999997</v>
      </c>
    </row>
    <row r="460" spans="1:7" ht="12.75">
      <c r="A460" s="69" t="s">
        <v>14</v>
      </c>
      <c r="B460" s="69" t="s">
        <v>62</v>
      </c>
      <c r="C460" s="69" t="s">
        <v>93</v>
      </c>
      <c r="D460" s="69" t="s">
        <v>93</v>
      </c>
      <c r="E460" s="70" t="s">
        <v>53</v>
      </c>
      <c r="F460" s="73">
        <f>F461+F483+F516+F536+F546</f>
        <v>436329.7</v>
      </c>
      <c r="G460" s="73">
        <f>G461+G483+G516+G536+G546</f>
        <v>434215.1</v>
      </c>
    </row>
    <row r="461" spans="1:7" ht="12.75">
      <c r="A461" s="69" t="s">
        <v>14</v>
      </c>
      <c r="B461" s="69" t="s">
        <v>77</v>
      </c>
      <c r="C461" s="69" t="s">
        <v>93</v>
      </c>
      <c r="D461" s="69" t="s">
        <v>93</v>
      </c>
      <c r="E461" s="70" t="s">
        <v>15</v>
      </c>
      <c r="F461" s="73">
        <f>F462+F479</f>
        <v>170700.6</v>
      </c>
      <c r="G461" s="73">
        <f aca="true" t="shared" si="206" ref="G461">G462+G479</f>
        <v>170700.59999999998</v>
      </c>
    </row>
    <row r="462" spans="1:7" ht="47.25">
      <c r="A462" s="69" t="s">
        <v>14</v>
      </c>
      <c r="B462" s="69" t="s">
        <v>77</v>
      </c>
      <c r="C462" s="69" t="s">
        <v>278</v>
      </c>
      <c r="D462" s="69" t="s">
        <v>93</v>
      </c>
      <c r="E462" s="70" t="s">
        <v>383</v>
      </c>
      <c r="F462" s="73">
        <f>F463</f>
        <v>170631.80000000002</v>
      </c>
      <c r="G462" s="73">
        <f aca="true" t="shared" si="207" ref="G462">G463</f>
        <v>170631.8</v>
      </c>
    </row>
    <row r="463" spans="1:7" ht="31.5">
      <c r="A463" s="69" t="s">
        <v>14</v>
      </c>
      <c r="B463" s="69" t="s">
        <v>77</v>
      </c>
      <c r="C463" s="69" t="s">
        <v>279</v>
      </c>
      <c r="D463" s="69" t="s">
        <v>93</v>
      </c>
      <c r="E463" s="70" t="s">
        <v>114</v>
      </c>
      <c r="F463" s="73">
        <f>F464</f>
        <v>170631.80000000002</v>
      </c>
      <c r="G463" s="73">
        <f aca="true" t="shared" si="208" ref="G463">G464</f>
        <v>170631.8</v>
      </c>
    </row>
    <row r="464" spans="1:7" ht="31.5">
      <c r="A464" s="69" t="s">
        <v>14</v>
      </c>
      <c r="B464" s="69" t="s">
        <v>77</v>
      </c>
      <c r="C464" s="69" t="s">
        <v>469</v>
      </c>
      <c r="D464" s="81" t="s">
        <v>93</v>
      </c>
      <c r="E464" s="70" t="s">
        <v>470</v>
      </c>
      <c r="F464" s="73">
        <f>F465+F467+F469+F471+F475+F477+F473</f>
        <v>170631.80000000002</v>
      </c>
      <c r="G464" s="73">
        <f aca="true" t="shared" si="209" ref="G464">G465+G467+G469+G471+G475+G477+G473</f>
        <v>170631.8</v>
      </c>
    </row>
    <row r="465" spans="1:7" ht="63">
      <c r="A465" s="14" t="s">
        <v>14</v>
      </c>
      <c r="B465" s="14" t="s">
        <v>77</v>
      </c>
      <c r="C465" s="62" t="s">
        <v>295</v>
      </c>
      <c r="D465" s="62"/>
      <c r="E465" s="48" t="s">
        <v>116</v>
      </c>
      <c r="F465" s="73">
        <f>F466</f>
        <v>93411.2</v>
      </c>
      <c r="G465" s="73">
        <f aca="true" t="shared" si="210" ref="G465">G466</f>
        <v>93411.2</v>
      </c>
    </row>
    <row r="466" spans="1:7" ht="31.5">
      <c r="A466" s="14" t="s">
        <v>14</v>
      </c>
      <c r="B466" s="14" t="s">
        <v>77</v>
      </c>
      <c r="C466" s="62" t="s">
        <v>295</v>
      </c>
      <c r="D466" s="256">
        <v>600</v>
      </c>
      <c r="E466" s="48" t="s">
        <v>117</v>
      </c>
      <c r="F466" s="73">
        <f>86119+4036.5+3255.7</f>
        <v>93411.2</v>
      </c>
      <c r="G466" s="73">
        <v>93411.2</v>
      </c>
    </row>
    <row r="467" spans="1:7" ht="63">
      <c r="A467" s="14" t="s">
        <v>14</v>
      </c>
      <c r="B467" s="14" t="s">
        <v>77</v>
      </c>
      <c r="C467" s="62" t="s">
        <v>292</v>
      </c>
      <c r="D467" s="62"/>
      <c r="E467" s="68" t="s">
        <v>115</v>
      </c>
      <c r="F467" s="73">
        <f>F468</f>
        <v>68756.70000000001</v>
      </c>
      <c r="G467" s="73">
        <f aca="true" t="shared" si="211" ref="G467">G468</f>
        <v>68756.7</v>
      </c>
    </row>
    <row r="468" spans="1:7" ht="31.5">
      <c r="A468" s="14" t="s">
        <v>14</v>
      </c>
      <c r="B468" s="14" t="s">
        <v>77</v>
      </c>
      <c r="C468" s="62" t="s">
        <v>292</v>
      </c>
      <c r="D468" s="256">
        <v>600</v>
      </c>
      <c r="E468" s="48" t="s">
        <v>117</v>
      </c>
      <c r="F468" s="73">
        <f>68391.1+365.6</f>
        <v>68756.70000000001</v>
      </c>
      <c r="G468" s="73">
        <v>68756.7</v>
      </c>
    </row>
    <row r="469" spans="1:7" ht="47.25">
      <c r="A469" s="69" t="s">
        <v>14</v>
      </c>
      <c r="B469" s="69" t="s">
        <v>77</v>
      </c>
      <c r="C469" s="69" t="s">
        <v>293</v>
      </c>
      <c r="D469" s="69" t="s">
        <v>93</v>
      </c>
      <c r="E469" s="70" t="s">
        <v>471</v>
      </c>
      <c r="F469" s="73">
        <f>F470</f>
        <v>2777.7</v>
      </c>
      <c r="G469" s="73">
        <f aca="true" t="shared" si="212" ref="G469">G470</f>
        <v>2777.7</v>
      </c>
    </row>
    <row r="470" spans="1:7" ht="31.5">
      <c r="A470" s="69" t="s">
        <v>14</v>
      </c>
      <c r="B470" s="69" t="s">
        <v>77</v>
      </c>
      <c r="C470" s="69" t="s">
        <v>293</v>
      </c>
      <c r="D470" s="69" t="s">
        <v>397</v>
      </c>
      <c r="E470" s="70" t="s">
        <v>398</v>
      </c>
      <c r="F470" s="73">
        <f>2625.1+140+12.6</f>
        <v>2777.7</v>
      </c>
      <c r="G470" s="73">
        <v>2777.7</v>
      </c>
    </row>
    <row r="471" spans="1:7" ht="47.25">
      <c r="A471" s="69" t="s">
        <v>14</v>
      </c>
      <c r="B471" s="69" t="s">
        <v>77</v>
      </c>
      <c r="C471" s="69" t="s">
        <v>294</v>
      </c>
      <c r="D471" s="69" t="s">
        <v>93</v>
      </c>
      <c r="E471" s="70" t="s">
        <v>121</v>
      </c>
      <c r="F471" s="73">
        <f>F472</f>
        <v>2566.4</v>
      </c>
      <c r="G471" s="73">
        <f aca="true" t="shared" si="213" ref="G471">G472</f>
        <v>2566.4</v>
      </c>
    </row>
    <row r="472" spans="1:7" ht="31.5">
      <c r="A472" s="69" t="s">
        <v>14</v>
      </c>
      <c r="B472" s="69" t="s">
        <v>77</v>
      </c>
      <c r="C472" s="69" t="s">
        <v>294</v>
      </c>
      <c r="D472" s="69" t="s">
        <v>397</v>
      </c>
      <c r="E472" s="70" t="s">
        <v>398</v>
      </c>
      <c r="F472" s="73">
        <f>1377.1+308.4+430.5-160.5+610.9</f>
        <v>2566.4</v>
      </c>
      <c r="G472" s="73">
        <v>2566.4</v>
      </c>
    </row>
    <row r="473" spans="1:7" ht="47.25">
      <c r="A473" s="69" t="s">
        <v>14</v>
      </c>
      <c r="B473" s="69" t="s">
        <v>77</v>
      </c>
      <c r="C473" s="69" t="s">
        <v>677</v>
      </c>
      <c r="D473" s="69"/>
      <c r="E473" s="70" t="s">
        <v>678</v>
      </c>
      <c r="F473" s="73">
        <f>F474</f>
        <v>173.8</v>
      </c>
      <c r="G473" s="73">
        <f aca="true" t="shared" si="214" ref="G473">G474</f>
        <v>173.8</v>
      </c>
    </row>
    <row r="474" spans="1:7" ht="31.5">
      <c r="A474" s="69" t="s">
        <v>14</v>
      </c>
      <c r="B474" s="69" t="s">
        <v>77</v>
      </c>
      <c r="C474" s="69" t="s">
        <v>677</v>
      </c>
      <c r="D474" s="69" t="s">
        <v>397</v>
      </c>
      <c r="E474" s="70" t="s">
        <v>398</v>
      </c>
      <c r="F474" s="73">
        <f>98.3+75.5</f>
        <v>173.8</v>
      </c>
      <c r="G474" s="73">
        <v>173.8</v>
      </c>
    </row>
    <row r="475" spans="1:7" ht="78.75">
      <c r="A475" s="69" t="s">
        <v>14</v>
      </c>
      <c r="B475" s="69" t="s">
        <v>77</v>
      </c>
      <c r="C475" s="69" t="s">
        <v>522</v>
      </c>
      <c r="D475" s="69" t="s">
        <v>93</v>
      </c>
      <c r="E475" s="70" t="s">
        <v>523</v>
      </c>
      <c r="F475" s="73">
        <f>F476</f>
        <v>90.3</v>
      </c>
      <c r="G475" s="73">
        <f aca="true" t="shared" si="215" ref="G475">G476</f>
        <v>90.3</v>
      </c>
    </row>
    <row r="476" spans="1:7" ht="31.5">
      <c r="A476" s="69" t="s">
        <v>14</v>
      </c>
      <c r="B476" s="69" t="s">
        <v>77</v>
      </c>
      <c r="C476" s="69" t="s">
        <v>522</v>
      </c>
      <c r="D476" s="69" t="s">
        <v>397</v>
      </c>
      <c r="E476" s="70" t="s">
        <v>398</v>
      </c>
      <c r="F476" s="73">
        <v>90.3</v>
      </c>
      <c r="G476" s="73">
        <v>90.3</v>
      </c>
    </row>
    <row r="477" spans="1:7" ht="94.5">
      <c r="A477" s="69" t="s">
        <v>14</v>
      </c>
      <c r="B477" s="69" t="s">
        <v>77</v>
      </c>
      <c r="C477" s="69" t="s">
        <v>585</v>
      </c>
      <c r="D477" s="69" t="s">
        <v>93</v>
      </c>
      <c r="E477" s="70" t="s">
        <v>588</v>
      </c>
      <c r="F477" s="73">
        <f>F478</f>
        <v>2855.7</v>
      </c>
      <c r="G477" s="73">
        <f aca="true" t="shared" si="216" ref="G477">G478</f>
        <v>2855.7</v>
      </c>
    </row>
    <row r="478" spans="1:7" ht="31.5">
      <c r="A478" s="69" t="s">
        <v>14</v>
      </c>
      <c r="B478" s="69" t="s">
        <v>77</v>
      </c>
      <c r="C478" s="69" t="s">
        <v>585</v>
      </c>
      <c r="D478" s="69" t="s">
        <v>397</v>
      </c>
      <c r="E478" s="70" t="s">
        <v>398</v>
      </c>
      <c r="F478" s="73">
        <v>2855.7</v>
      </c>
      <c r="G478" s="73">
        <v>2855.7</v>
      </c>
    </row>
    <row r="479" spans="1:7" ht="12.75">
      <c r="A479" s="69" t="s">
        <v>14</v>
      </c>
      <c r="B479" s="69" t="s">
        <v>77</v>
      </c>
      <c r="C479" s="63">
        <v>9900000000</v>
      </c>
      <c r="D479" s="78"/>
      <c r="E479" s="65" t="s">
        <v>487</v>
      </c>
      <c r="F479" s="73">
        <f>F480</f>
        <v>68.8</v>
      </c>
      <c r="G479" s="73">
        <f aca="true" t="shared" si="217" ref="G479:G481">G480</f>
        <v>68.8</v>
      </c>
    </row>
    <row r="480" spans="1:7" ht="47.25">
      <c r="A480" s="69" t="s">
        <v>14</v>
      </c>
      <c r="B480" s="69" t="s">
        <v>77</v>
      </c>
      <c r="C480" s="63">
        <v>9950000000</v>
      </c>
      <c r="D480" s="15"/>
      <c r="E480" s="48" t="s">
        <v>602</v>
      </c>
      <c r="F480" s="73">
        <f>F481</f>
        <v>68.8</v>
      </c>
      <c r="G480" s="73">
        <f t="shared" si="217"/>
        <v>68.8</v>
      </c>
    </row>
    <row r="481" spans="1:7" ht="47.25">
      <c r="A481" s="69" t="s">
        <v>14</v>
      </c>
      <c r="B481" s="69" t="s">
        <v>77</v>
      </c>
      <c r="C481" s="63" t="s">
        <v>603</v>
      </c>
      <c r="D481" s="15"/>
      <c r="E481" s="48" t="s">
        <v>604</v>
      </c>
      <c r="F481" s="73">
        <f>F482</f>
        <v>68.8</v>
      </c>
      <c r="G481" s="73">
        <f t="shared" si="217"/>
        <v>68.8</v>
      </c>
    </row>
    <row r="482" spans="1:7" ht="31.5">
      <c r="A482" s="69" t="s">
        <v>14</v>
      </c>
      <c r="B482" s="69" t="s">
        <v>77</v>
      </c>
      <c r="C482" s="63" t="s">
        <v>603</v>
      </c>
      <c r="D482" s="256">
        <v>600</v>
      </c>
      <c r="E482" s="48" t="s">
        <v>117</v>
      </c>
      <c r="F482" s="73">
        <v>68.8</v>
      </c>
      <c r="G482" s="73">
        <v>68.8</v>
      </c>
    </row>
    <row r="483" spans="1:7" ht="12.75">
      <c r="A483" s="69" t="s">
        <v>14</v>
      </c>
      <c r="B483" s="69" t="s">
        <v>78</v>
      </c>
      <c r="C483" s="69" t="s">
        <v>93</v>
      </c>
      <c r="D483" s="69" t="s">
        <v>93</v>
      </c>
      <c r="E483" s="70" t="s">
        <v>16</v>
      </c>
      <c r="F483" s="73">
        <f>F484+F513</f>
        <v>236693.5</v>
      </c>
      <c r="G483" s="73">
        <f>G484+G513</f>
        <v>235825.5</v>
      </c>
    </row>
    <row r="484" spans="1:7" ht="47.25">
      <c r="A484" s="69" t="s">
        <v>14</v>
      </c>
      <c r="B484" s="69" t="s">
        <v>78</v>
      </c>
      <c r="C484" s="69" t="s">
        <v>278</v>
      </c>
      <c r="D484" s="69" t="s">
        <v>93</v>
      </c>
      <c r="E484" s="70" t="s">
        <v>383</v>
      </c>
      <c r="F484" s="73">
        <f>F485</f>
        <v>236543.5</v>
      </c>
      <c r="G484" s="73">
        <f aca="true" t="shared" si="218" ref="G484">G485</f>
        <v>235675.5</v>
      </c>
    </row>
    <row r="485" spans="1:7" ht="31.5">
      <c r="A485" s="69" t="s">
        <v>14</v>
      </c>
      <c r="B485" s="69" t="s">
        <v>78</v>
      </c>
      <c r="C485" s="69" t="s">
        <v>279</v>
      </c>
      <c r="D485" s="69" t="s">
        <v>93</v>
      </c>
      <c r="E485" s="70" t="s">
        <v>114</v>
      </c>
      <c r="F485" s="73">
        <f>F486+F509</f>
        <v>236543.5</v>
      </c>
      <c r="G485" s="73">
        <f>G486+G509</f>
        <v>235675.5</v>
      </c>
    </row>
    <row r="486" spans="1:7" ht="31.5">
      <c r="A486" s="69" t="s">
        <v>14</v>
      </c>
      <c r="B486" s="69" t="s">
        <v>78</v>
      </c>
      <c r="C486" s="69" t="s">
        <v>472</v>
      </c>
      <c r="D486" s="81" t="s">
        <v>93</v>
      </c>
      <c r="E486" s="70" t="s">
        <v>473</v>
      </c>
      <c r="F486" s="73">
        <f>F493+F495+F497+F503+F505+F501+F507+F499+F487+F489+F491</f>
        <v>232833.7</v>
      </c>
      <c r="G486" s="73">
        <f>G493+G495+G497+G503+G505+G501+G507+G499+G487+G489+G491</f>
        <v>231965.7</v>
      </c>
    </row>
    <row r="487" spans="1:7" ht="47.25">
      <c r="A487" s="14" t="s">
        <v>14</v>
      </c>
      <c r="B487" s="14" t="s">
        <v>78</v>
      </c>
      <c r="C487" s="62" t="s">
        <v>552</v>
      </c>
      <c r="D487" s="62"/>
      <c r="E487" s="59" t="s">
        <v>553</v>
      </c>
      <c r="F487" s="73">
        <f>F488</f>
        <v>4212.5</v>
      </c>
      <c r="G487" s="73">
        <f aca="true" t="shared" si="219" ref="G487">G488</f>
        <v>4212.5</v>
      </c>
    </row>
    <row r="488" spans="1:7" ht="31.5">
      <c r="A488" s="14" t="s">
        <v>14</v>
      </c>
      <c r="B488" s="14" t="s">
        <v>78</v>
      </c>
      <c r="C488" s="62" t="s">
        <v>552</v>
      </c>
      <c r="D488" s="256">
        <v>600</v>
      </c>
      <c r="E488" s="68" t="s">
        <v>117</v>
      </c>
      <c r="F488" s="73">
        <v>4212.5</v>
      </c>
      <c r="G488" s="73">
        <v>4212.5</v>
      </c>
    </row>
    <row r="489" spans="1:7" ht="63">
      <c r="A489" s="14" t="s">
        <v>14</v>
      </c>
      <c r="B489" s="14" t="s">
        <v>78</v>
      </c>
      <c r="C489" s="62" t="s">
        <v>557</v>
      </c>
      <c r="D489" s="62"/>
      <c r="E489" s="70" t="s">
        <v>559</v>
      </c>
      <c r="F489" s="73">
        <f>F490</f>
        <v>5153.9</v>
      </c>
      <c r="G489" s="73">
        <f aca="true" t="shared" si="220" ref="G489">G490</f>
        <v>4285.9</v>
      </c>
    </row>
    <row r="490" spans="1:7" ht="31.5">
      <c r="A490" s="14" t="s">
        <v>14</v>
      </c>
      <c r="B490" s="14" t="s">
        <v>78</v>
      </c>
      <c r="C490" s="62" t="s">
        <v>557</v>
      </c>
      <c r="D490" s="256">
        <v>600</v>
      </c>
      <c r="E490" s="68" t="s">
        <v>117</v>
      </c>
      <c r="F490" s="73">
        <f>2980.9+2173</f>
        <v>5153.9</v>
      </c>
      <c r="G490" s="73">
        <v>4285.9</v>
      </c>
    </row>
    <row r="491" spans="1:7" ht="78.75">
      <c r="A491" s="69" t="s">
        <v>14</v>
      </c>
      <c r="B491" s="69" t="s">
        <v>78</v>
      </c>
      <c r="C491" s="69" t="s">
        <v>584</v>
      </c>
      <c r="D491" s="69" t="s">
        <v>93</v>
      </c>
      <c r="E491" s="70" t="s">
        <v>587</v>
      </c>
      <c r="F491" s="73">
        <f>F492</f>
        <v>205.9</v>
      </c>
      <c r="G491" s="73">
        <f aca="true" t="shared" si="221" ref="G491">G492</f>
        <v>205.9</v>
      </c>
    </row>
    <row r="492" spans="1:7" ht="31.5">
      <c r="A492" s="69" t="s">
        <v>14</v>
      </c>
      <c r="B492" s="69" t="s">
        <v>78</v>
      </c>
      <c r="C492" s="69" t="s">
        <v>584</v>
      </c>
      <c r="D492" s="69" t="s">
        <v>397</v>
      </c>
      <c r="E492" s="70" t="s">
        <v>398</v>
      </c>
      <c r="F492" s="73">
        <v>205.9</v>
      </c>
      <c r="G492" s="73">
        <v>205.9</v>
      </c>
    </row>
    <row r="493" spans="1:7" ht="110.25">
      <c r="A493" s="14" t="s">
        <v>14</v>
      </c>
      <c r="B493" s="14" t="s">
        <v>78</v>
      </c>
      <c r="C493" s="62" t="s">
        <v>301</v>
      </c>
      <c r="D493" s="62"/>
      <c r="E493" s="68" t="s">
        <v>128</v>
      </c>
      <c r="F493" s="73">
        <f>F494</f>
        <v>176653</v>
      </c>
      <c r="G493" s="73">
        <f aca="true" t="shared" si="222" ref="G493">G494</f>
        <v>176653</v>
      </c>
    </row>
    <row r="494" spans="1:7" ht="31.5">
      <c r="A494" s="14" t="s">
        <v>14</v>
      </c>
      <c r="B494" s="14" t="s">
        <v>78</v>
      </c>
      <c r="C494" s="62" t="s">
        <v>301</v>
      </c>
      <c r="D494" s="256">
        <v>600</v>
      </c>
      <c r="E494" s="68" t="s">
        <v>117</v>
      </c>
      <c r="F494" s="73">
        <v>176653</v>
      </c>
      <c r="G494" s="73">
        <v>176653</v>
      </c>
    </row>
    <row r="495" spans="1:7" ht="63">
      <c r="A495" s="14" t="s">
        <v>14</v>
      </c>
      <c r="B495" s="14" t="s">
        <v>78</v>
      </c>
      <c r="C495" s="62" t="s">
        <v>296</v>
      </c>
      <c r="D495" s="62"/>
      <c r="E495" s="68" t="s">
        <v>118</v>
      </c>
      <c r="F495" s="73">
        <f>F496</f>
        <v>37194.7</v>
      </c>
      <c r="G495" s="73">
        <f aca="true" t="shared" si="223" ref="G495">G496</f>
        <v>37194.7</v>
      </c>
    </row>
    <row r="496" spans="1:7" ht="31.5">
      <c r="A496" s="14" t="s">
        <v>14</v>
      </c>
      <c r="B496" s="14" t="s">
        <v>78</v>
      </c>
      <c r="C496" s="62" t="s">
        <v>296</v>
      </c>
      <c r="D496" s="256">
        <v>600</v>
      </c>
      <c r="E496" s="48" t="s">
        <v>117</v>
      </c>
      <c r="F496" s="73">
        <f>38502.6-1375.8+67.9</f>
        <v>37194.7</v>
      </c>
      <c r="G496" s="73">
        <v>37194.7</v>
      </c>
    </row>
    <row r="497" spans="1:7" ht="47.25">
      <c r="A497" s="69" t="s">
        <v>14</v>
      </c>
      <c r="B497" s="69" t="s">
        <v>78</v>
      </c>
      <c r="C497" s="69" t="s">
        <v>299</v>
      </c>
      <c r="D497" s="69" t="s">
        <v>93</v>
      </c>
      <c r="E497" s="70" t="s">
        <v>474</v>
      </c>
      <c r="F497" s="73">
        <f aca="true" t="shared" si="224" ref="F497:G497">F498</f>
        <v>1004.6</v>
      </c>
      <c r="G497" s="73">
        <f t="shared" si="224"/>
        <v>1004.6</v>
      </c>
    </row>
    <row r="498" spans="1:7" ht="31.5">
      <c r="A498" s="69" t="s">
        <v>14</v>
      </c>
      <c r="B498" s="69" t="s">
        <v>78</v>
      </c>
      <c r="C498" s="69" t="s">
        <v>299</v>
      </c>
      <c r="D498" s="69" t="s">
        <v>397</v>
      </c>
      <c r="E498" s="70" t="s">
        <v>398</v>
      </c>
      <c r="F498" s="73">
        <f>315.6+564+78.6+46.4</f>
        <v>1004.6</v>
      </c>
      <c r="G498" s="73">
        <v>1004.6</v>
      </c>
    </row>
    <row r="499" spans="1:7" ht="47.25">
      <c r="A499" s="69" t="s">
        <v>14</v>
      </c>
      <c r="B499" s="69" t="s">
        <v>78</v>
      </c>
      <c r="C499" s="69" t="s">
        <v>543</v>
      </c>
      <c r="D499" s="69" t="s">
        <v>93</v>
      </c>
      <c r="E499" s="70" t="s">
        <v>551</v>
      </c>
      <c r="F499" s="73">
        <f>F500</f>
        <v>1491</v>
      </c>
      <c r="G499" s="73">
        <f aca="true" t="shared" si="225" ref="G499">G500</f>
        <v>1491</v>
      </c>
    </row>
    <row r="500" spans="1:7" ht="31.5">
      <c r="A500" s="69" t="s">
        <v>14</v>
      </c>
      <c r="B500" s="69" t="s">
        <v>78</v>
      </c>
      <c r="C500" s="69" t="s">
        <v>543</v>
      </c>
      <c r="D500" s="69" t="s">
        <v>397</v>
      </c>
      <c r="E500" s="70" t="s">
        <v>398</v>
      </c>
      <c r="F500" s="73">
        <f>173.2+1317.8</f>
        <v>1491</v>
      </c>
      <c r="G500" s="73">
        <v>1491</v>
      </c>
    </row>
    <row r="501" spans="1:7" ht="31.5">
      <c r="A501" s="69" t="s">
        <v>14</v>
      </c>
      <c r="B501" s="69" t="s">
        <v>78</v>
      </c>
      <c r="C501" s="69" t="s">
        <v>524</v>
      </c>
      <c r="D501" s="69" t="s">
        <v>93</v>
      </c>
      <c r="E501" s="70" t="s">
        <v>525</v>
      </c>
      <c r="F501" s="73">
        <f>F502</f>
        <v>850.3</v>
      </c>
      <c r="G501" s="73">
        <f aca="true" t="shared" si="226" ref="G501">G502</f>
        <v>850.3</v>
      </c>
    </row>
    <row r="502" spans="1:7" ht="31.5">
      <c r="A502" s="69" t="s">
        <v>14</v>
      </c>
      <c r="B502" s="69" t="s">
        <v>78</v>
      </c>
      <c r="C502" s="69" t="s">
        <v>524</v>
      </c>
      <c r="D502" s="69" t="s">
        <v>397</v>
      </c>
      <c r="E502" s="70" t="s">
        <v>398</v>
      </c>
      <c r="F502" s="73">
        <f>186.9+548.4+115</f>
        <v>850.3</v>
      </c>
      <c r="G502" s="73">
        <v>850.3</v>
      </c>
    </row>
    <row r="503" spans="1:7" ht="47.25">
      <c r="A503" s="69" t="s">
        <v>14</v>
      </c>
      <c r="B503" s="69" t="s">
        <v>78</v>
      </c>
      <c r="C503" s="69" t="s">
        <v>300</v>
      </c>
      <c r="D503" s="69" t="s">
        <v>93</v>
      </c>
      <c r="E503" s="70" t="s">
        <v>122</v>
      </c>
      <c r="F503" s="73">
        <f>F504</f>
        <v>4414</v>
      </c>
      <c r="G503" s="73">
        <f aca="true" t="shared" si="227" ref="G503">G504</f>
        <v>4414</v>
      </c>
    </row>
    <row r="504" spans="1:7" ht="31.5">
      <c r="A504" s="69" t="s">
        <v>14</v>
      </c>
      <c r="B504" s="69" t="s">
        <v>78</v>
      </c>
      <c r="C504" s="69" t="s">
        <v>300</v>
      </c>
      <c r="D504" s="69" t="s">
        <v>397</v>
      </c>
      <c r="E504" s="70" t="s">
        <v>398</v>
      </c>
      <c r="F504" s="73">
        <f>5298.9-884.9</f>
        <v>4414</v>
      </c>
      <c r="G504" s="73">
        <v>4414</v>
      </c>
    </row>
    <row r="505" spans="1:7" ht="63">
      <c r="A505" s="69" t="s">
        <v>14</v>
      </c>
      <c r="B505" s="69" t="s">
        <v>78</v>
      </c>
      <c r="C505" s="69" t="s">
        <v>494</v>
      </c>
      <c r="D505" s="69" t="s">
        <v>93</v>
      </c>
      <c r="E505" s="70" t="s">
        <v>493</v>
      </c>
      <c r="F505" s="73">
        <f>F506</f>
        <v>1651.6999999999998</v>
      </c>
      <c r="G505" s="73">
        <f aca="true" t="shared" si="228" ref="G505">G506</f>
        <v>1651.7</v>
      </c>
    </row>
    <row r="506" spans="1:7" ht="31.5">
      <c r="A506" s="69" t="s">
        <v>14</v>
      </c>
      <c r="B506" s="69" t="s">
        <v>78</v>
      </c>
      <c r="C506" s="69" t="s">
        <v>494</v>
      </c>
      <c r="D506" s="69" t="s">
        <v>397</v>
      </c>
      <c r="E506" s="70" t="s">
        <v>398</v>
      </c>
      <c r="F506" s="73">
        <f>1393+574.3-315.6</f>
        <v>1651.6999999999998</v>
      </c>
      <c r="G506" s="73">
        <v>1651.7</v>
      </c>
    </row>
    <row r="507" spans="1:7" ht="47.25">
      <c r="A507" s="69" t="s">
        <v>14</v>
      </c>
      <c r="B507" s="69" t="s">
        <v>78</v>
      </c>
      <c r="C507" s="69" t="s">
        <v>528</v>
      </c>
      <c r="D507" s="69" t="s">
        <v>93</v>
      </c>
      <c r="E507" s="70" t="s">
        <v>529</v>
      </c>
      <c r="F507" s="73">
        <f>F508</f>
        <v>2.1</v>
      </c>
      <c r="G507" s="73">
        <f aca="true" t="shared" si="229" ref="G507">G508</f>
        <v>2.1</v>
      </c>
    </row>
    <row r="508" spans="1:7" ht="31.5">
      <c r="A508" s="69" t="s">
        <v>14</v>
      </c>
      <c r="B508" s="69" t="s">
        <v>78</v>
      </c>
      <c r="C508" s="69" t="s">
        <v>528</v>
      </c>
      <c r="D508" s="69" t="s">
        <v>397</v>
      </c>
      <c r="E508" s="70" t="s">
        <v>398</v>
      </c>
      <c r="F508" s="73">
        <v>2.1</v>
      </c>
      <c r="G508" s="73">
        <v>2.1</v>
      </c>
    </row>
    <row r="509" spans="1:7" ht="47.25">
      <c r="A509" s="14" t="s">
        <v>14</v>
      </c>
      <c r="B509" s="14" t="s">
        <v>78</v>
      </c>
      <c r="C509" s="14" t="s">
        <v>483</v>
      </c>
      <c r="D509" s="256"/>
      <c r="E509" s="48" t="s">
        <v>484</v>
      </c>
      <c r="F509" s="73">
        <f>F510</f>
        <v>3709.7999999999997</v>
      </c>
      <c r="G509" s="73">
        <f aca="true" t="shared" si="230" ref="G509:G510">G510</f>
        <v>3709.8</v>
      </c>
    </row>
    <row r="510" spans="1:7" ht="47.25">
      <c r="A510" s="14" t="s">
        <v>14</v>
      </c>
      <c r="B510" s="14" t="s">
        <v>78</v>
      </c>
      <c r="C510" s="62" t="s">
        <v>297</v>
      </c>
      <c r="D510" s="62"/>
      <c r="E510" s="68" t="s">
        <v>119</v>
      </c>
      <c r="F510" s="73">
        <f>F511</f>
        <v>3709.7999999999997</v>
      </c>
      <c r="G510" s="73">
        <f t="shared" si="230"/>
        <v>3709.8</v>
      </c>
    </row>
    <row r="511" spans="1:7" ht="31.5">
      <c r="A511" s="14" t="s">
        <v>14</v>
      </c>
      <c r="B511" s="14" t="s">
        <v>78</v>
      </c>
      <c r="C511" s="62" t="s">
        <v>297</v>
      </c>
      <c r="D511" s="256">
        <v>600</v>
      </c>
      <c r="E511" s="48" t="s">
        <v>117</v>
      </c>
      <c r="F511" s="73">
        <f>3705.1+4.7</f>
        <v>3709.7999999999997</v>
      </c>
      <c r="G511" s="73">
        <v>3709.8</v>
      </c>
    </row>
    <row r="512" spans="1:7" ht="12.75">
      <c r="A512" s="69" t="s">
        <v>14</v>
      </c>
      <c r="B512" s="69" t="s">
        <v>78</v>
      </c>
      <c r="C512" s="63">
        <v>9900000000</v>
      </c>
      <c r="D512" s="78"/>
      <c r="E512" s="65" t="s">
        <v>487</v>
      </c>
      <c r="F512" s="73">
        <f>F513</f>
        <v>150</v>
      </c>
      <c r="G512" s="73">
        <f aca="true" t="shared" si="231" ref="G512:G514">G513</f>
        <v>150</v>
      </c>
    </row>
    <row r="513" spans="1:7" ht="47.25">
      <c r="A513" s="14" t="s">
        <v>14</v>
      </c>
      <c r="B513" s="14" t="s">
        <v>78</v>
      </c>
      <c r="C513" s="63">
        <v>9950000000</v>
      </c>
      <c r="D513" s="15"/>
      <c r="E513" s="48" t="s">
        <v>602</v>
      </c>
      <c r="F513" s="73">
        <f>F514</f>
        <v>150</v>
      </c>
      <c r="G513" s="73">
        <f t="shared" si="231"/>
        <v>150</v>
      </c>
    </row>
    <row r="514" spans="1:7" ht="47.25">
      <c r="A514" s="14" t="s">
        <v>14</v>
      </c>
      <c r="B514" s="14" t="s">
        <v>78</v>
      </c>
      <c r="C514" s="63" t="s">
        <v>603</v>
      </c>
      <c r="D514" s="15"/>
      <c r="E514" s="48" t="s">
        <v>604</v>
      </c>
      <c r="F514" s="73">
        <f>F515</f>
        <v>150</v>
      </c>
      <c r="G514" s="73">
        <f t="shared" si="231"/>
        <v>150</v>
      </c>
    </row>
    <row r="515" spans="1:7" ht="31.5">
      <c r="A515" s="14" t="s">
        <v>14</v>
      </c>
      <c r="B515" s="14" t="s">
        <v>78</v>
      </c>
      <c r="C515" s="63" t="s">
        <v>603</v>
      </c>
      <c r="D515" s="256">
        <v>600</v>
      </c>
      <c r="E515" s="48" t="s">
        <v>117</v>
      </c>
      <c r="F515" s="73">
        <v>150</v>
      </c>
      <c r="G515" s="73">
        <v>150</v>
      </c>
    </row>
    <row r="516" spans="1:7" ht="12.75">
      <c r="A516" s="69" t="s">
        <v>14</v>
      </c>
      <c r="B516" s="69" t="s">
        <v>319</v>
      </c>
      <c r="C516" s="69" t="s">
        <v>93</v>
      </c>
      <c r="D516" s="69" t="s">
        <v>93</v>
      </c>
      <c r="E516" s="70" t="s">
        <v>320</v>
      </c>
      <c r="F516" s="73">
        <f>F517+F532</f>
        <v>11940.2</v>
      </c>
      <c r="G516" s="73">
        <f>G517+G532</f>
        <v>10725.4</v>
      </c>
    </row>
    <row r="517" spans="1:7" ht="47.25">
      <c r="A517" s="69" t="s">
        <v>14</v>
      </c>
      <c r="B517" s="69" t="s">
        <v>319</v>
      </c>
      <c r="C517" s="69" t="s">
        <v>278</v>
      </c>
      <c r="D517" s="69" t="s">
        <v>93</v>
      </c>
      <c r="E517" s="70" t="s">
        <v>383</v>
      </c>
      <c r="F517" s="73">
        <f>F518</f>
        <v>11828.6</v>
      </c>
      <c r="G517" s="73">
        <f aca="true" t="shared" si="232" ref="G517:G524">G518</f>
        <v>10613.8</v>
      </c>
    </row>
    <row r="518" spans="1:7" ht="31.5">
      <c r="A518" s="69" t="s">
        <v>14</v>
      </c>
      <c r="B518" s="69" t="s">
        <v>319</v>
      </c>
      <c r="C518" s="69" t="s">
        <v>279</v>
      </c>
      <c r="D518" s="69" t="s">
        <v>93</v>
      </c>
      <c r="E518" s="70" t="s">
        <v>114</v>
      </c>
      <c r="F518" s="73">
        <f>F519</f>
        <v>11828.6</v>
      </c>
      <c r="G518" s="73">
        <f t="shared" si="232"/>
        <v>10613.8</v>
      </c>
    </row>
    <row r="519" spans="1:7" ht="47.25">
      <c r="A519" s="14" t="s">
        <v>14</v>
      </c>
      <c r="B519" s="69" t="s">
        <v>319</v>
      </c>
      <c r="C519" s="14" t="s">
        <v>483</v>
      </c>
      <c r="D519" s="256"/>
      <c r="E519" s="48" t="s">
        <v>484</v>
      </c>
      <c r="F519" s="73">
        <f>F524+F528+F520+F522+F530+F526</f>
        <v>11828.6</v>
      </c>
      <c r="G519" s="73">
        <f aca="true" t="shared" si="233" ref="G519">G524+G528+G520+G522+G530+G526</f>
        <v>10613.8</v>
      </c>
    </row>
    <row r="520" spans="1:7" ht="63">
      <c r="A520" s="14" t="s">
        <v>14</v>
      </c>
      <c r="B520" s="69" t="s">
        <v>319</v>
      </c>
      <c r="C520" s="62" t="s">
        <v>598</v>
      </c>
      <c r="D520" s="62"/>
      <c r="E520" s="68" t="s">
        <v>599</v>
      </c>
      <c r="F520" s="73">
        <f>F521</f>
        <v>300</v>
      </c>
      <c r="G520" s="73">
        <f aca="true" t="shared" si="234" ref="G520">G521</f>
        <v>292.5</v>
      </c>
    </row>
    <row r="521" spans="1:7" ht="31.5">
      <c r="A521" s="14" t="s">
        <v>14</v>
      </c>
      <c r="B521" s="69" t="s">
        <v>319</v>
      </c>
      <c r="C521" s="62" t="s">
        <v>598</v>
      </c>
      <c r="D521" s="256">
        <v>600</v>
      </c>
      <c r="E521" s="48" t="s">
        <v>117</v>
      </c>
      <c r="F521" s="73">
        <v>300</v>
      </c>
      <c r="G521" s="73">
        <v>292.5</v>
      </c>
    </row>
    <row r="522" spans="1:7" ht="63">
      <c r="A522" s="14" t="s">
        <v>14</v>
      </c>
      <c r="B522" s="69" t="s">
        <v>319</v>
      </c>
      <c r="C522" s="62" t="s">
        <v>609</v>
      </c>
      <c r="D522" s="256"/>
      <c r="E522" s="70" t="s">
        <v>616</v>
      </c>
      <c r="F522" s="73">
        <f>F523</f>
        <v>2760.1</v>
      </c>
      <c r="G522" s="73">
        <f aca="true" t="shared" si="235" ref="G522">G523</f>
        <v>1552.8</v>
      </c>
    </row>
    <row r="523" spans="1:7" ht="31.5">
      <c r="A523" s="14" t="s">
        <v>14</v>
      </c>
      <c r="B523" s="69" t="s">
        <v>319</v>
      </c>
      <c r="C523" s="62" t="s">
        <v>609</v>
      </c>
      <c r="D523" s="256">
        <v>600</v>
      </c>
      <c r="E523" s="48" t="s">
        <v>117</v>
      </c>
      <c r="F523" s="73">
        <f>2629.4+130.7</f>
        <v>2760.1</v>
      </c>
      <c r="G523" s="73">
        <v>1552.8</v>
      </c>
    </row>
    <row r="524" spans="1:7" ht="47.25">
      <c r="A524" s="14" t="s">
        <v>14</v>
      </c>
      <c r="B524" s="69" t="s">
        <v>319</v>
      </c>
      <c r="C524" s="62" t="s">
        <v>298</v>
      </c>
      <c r="D524" s="62"/>
      <c r="E524" s="68" t="s">
        <v>120</v>
      </c>
      <c r="F524" s="73">
        <f>F525</f>
        <v>8144.9</v>
      </c>
      <c r="G524" s="73">
        <f t="shared" si="232"/>
        <v>8144.9</v>
      </c>
    </row>
    <row r="525" spans="1:7" ht="31.5">
      <c r="A525" s="14" t="s">
        <v>14</v>
      </c>
      <c r="B525" s="69" t="s">
        <v>319</v>
      </c>
      <c r="C525" s="62" t="s">
        <v>298</v>
      </c>
      <c r="D525" s="256">
        <v>600</v>
      </c>
      <c r="E525" s="48" t="s">
        <v>117</v>
      </c>
      <c r="F525" s="73">
        <f>8282.4-142.2+4.7</f>
        <v>8144.9</v>
      </c>
      <c r="G525" s="73">
        <v>8144.9</v>
      </c>
    </row>
    <row r="526" spans="1:7" ht="47.25">
      <c r="A526" s="14" t="s">
        <v>14</v>
      </c>
      <c r="B526" s="69" t="s">
        <v>319</v>
      </c>
      <c r="C526" s="62" t="s">
        <v>679</v>
      </c>
      <c r="D526" s="256"/>
      <c r="E526" s="48" t="s">
        <v>680</v>
      </c>
      <c r="F526" s="73">
        <f>F527</f>
        <v>448</v>
      </c>
      <c r="G526" s="73">
        <f aca="true" t="shared" si="236" ref="G526">G527</f>
        <v>448</v>
      </c>
    </row>
    <row r="527" spans="1:7" ht="31.5">
      <c r="A527" s="14" t="s">
        <v>14</v>
      </c>
      <c r="B527" s="69" t="s">
        <v>319</v>
      </c>
      <c r="C527" s="62" t="s">
        <v>679</v>
      </c>
      <c r="D527" s="256">
        <v>600</v>
      </c>
      <c r="E527" s="48" t="s">
        <v>117</v>
      </c>
      <c r="F527" s="73">
        <v>448</v>
      </c>
      <c r="G527" s="73">
        <v>448</v>
      </c>
    </row>
    <row r="528" spans="1:7" ht="63">
      <c r="A528" s="14" t="s">
        <v>14</v>
      </c>
      <c r="B528" s="69" t="s">
        <v>319</v>
      </c>
      <c r="C528" s="62" t="s">
        <v>526</v>
      </c>
      <c r="D528" s="62"/>
      <c r="E528" s="68" t="s">
        <v>527</v>
      </c>
      <c r="F528" s="73">
        <f>F529</f>
        <v>33.4</v>
      </c>
      <c r="G528" s="73">
        <f aca="true" t="shared" si="237" ref="G528">G529</f>
        <v>33.4</v>
      </c>
    </row>
    <row r="529" spans="1:7" ht="31.5">
      <c r="A529" s="14" t="s">
        <v>14</v>
      </c>
      <c r="B529" s="69" t="s">
        <v>319</v>
      </c>
      <c r="C529" s="62" t="s">
        <v>526</v>
      </c>
      <c r="D529" s="256">
        <v>600</v>
      </c>
      <c r="E529" s="48" t="s">
        <v>117</v>
      </c>
      <c r="F529" s="73">
        <v>33.4</v>
      </c>
      <c r="G529" s="73">
        <v>33.4</v>
      </c>
    </row>
    <row r="530" spans="1:7" ht="63">
      <c r="A530" s="14" t="s">
        <v>14</v>
      </c>
      <c r="B530" s="69" t="s">
        <v>319</v>
      </c>
      <c r="C530" s="62" t="s">
        <v>608</v>
      </c>
      <c r="D530" s="256"/>
      <c r="E530" s="48" t="s">
        <v>623</v>
      </c>
      <c r="F530" s="73">
        <f>F531</f>
        <v>142.2</v>
      </c>
      <c r="G530" s="73">
        <f aca="true" t="shared" si="238" ref="G530">G531</f>
        <v>142.2</v>
      </c>
    </row>
    <row r="531" spans="1:7" ht="31.5">
      <c r="A531" s="14" t="s">
        <v>14</v>
      </c>
      <c r="B531" s="69" t="s">
        <v>319</v>
      </c>
      <c r="C531" s="62" t="s">
        <v>608</v>
      </c>
      <c r="D531" s="256">
        <v>600</v>
      </c>
      <c r="E531" s="48" t="s">
        <v>117</v>
      </c>
      <c r="F531" s="73">
        <v>142.2</v>
      </c>
      <c r="G531" s="73">
        <v>142.2</v>
      </c>
    </row>
    <row r="532" spans="1:7" ht="12.75">
      <c r="A532" s="69" t="s">
        <v>14</v>
      </c>
      <c r="B532" s="69" t="s">
        <v>319</v>
      </c>
      <c r="C532" s="63">
        <v>9900000000</v>
      </c>
      <c r="D532" s="78"/>
      <c r="E532" s="65" t="s">
        <v>487</v>
      </c>
      <c r="F532" s="73">
        <f>F533</f>
        <v>111.6</v>
      </c>
      <c r="G532" s="73">
        <f aca="true" t="shared" si="239" ref="G532:G534">G533</f>
        <v>111.6</v>
      </c>
    </row>
    <row r="533" spans="1:7" ht="47.25">
      <c r="A533" s="69" t="s">
        <v>14</v>
      </c>
      <c r="B533" s="69" t="s">
        <v>319</v>
      </c>
      <c r="C533" s="63">
        <v>9950000000</v>
      </c>
      <c r="D533" s="15"/>
      <c r="E533" s="48" t="s">
        <v>602</v>
      </c>
      <c r="F533" s="73">
        <f>F534</f>
        <v>111.6</v>
      </c>
      <c r="G533" s="73">
        <f t="shared" si="239"/>
        <v>111.6</v>
      </c>
    </row>
    <row r="534" spans="1:7" ht="47.25">
      <c r="A534" s="69" t="s">
        <v>14</v>
      </c>
      <c r="B534" s="69" t="s">
        <v>319</v>
      </c>
      <c r="C534" s="63" t="s">
        <v>603</v>
      </c>
      <c r="D534" s="15"/>
      <c r="E534" s="48" t="s">
        <v>604</v>
      </c>
      <c r="F534" s="73">
        <f>F535</f>
        <v>111.6</v>
      </c>
      <c r="G534" s="73">
        <f t="shared" si="239"/>
        <v>111.6</v>
      </c>
    </row>
    <row r="535" spans="1:7" ht="31.5">
      <c r="A535" s="69" t="s">
        <v>14</v>
      </c>
      <c r="B535" s="69" t="s">
        <v>319</v>
      </c>
      <c r="C535" s="63" t="s">
        <v>603</v>
      </c>
      <c r="D535" s="256">
        <v>600</v>
      </c>
      <c r="E535" s="48" t="s">
        <v>117</v>
      </c>
      <c r="F535" s="73">
        <v>111.6</v>
      </c>
      <c r="G535" s="73">
        <v>111.6</v>
      </c>
    </row>
    <row r="536" spans="1:7" ht="12.75">
      <c r="A536" s="69" t="s">
        <v>14</v>
      </c>
      <c r="B536" s="69" t="s">
        <v>63</v>
      </c>
      <c r="C536" s="69" t="s">
        <v>93</v>
      </c>
      <c r="D536" s="69" t="s">
        <v>93</v>
      </c>
      <c r="E536" s="70" t="s">
        <v>486</v>
      </c>
      <c r="F536" s="73">
        <f>F537</f>
        <v>2990.7000000000003</v>
      </c>
      <c r="G536" s="73">
        <f aca="true" t="shared" si="240" ref="G536:G544">G537</f>
        <v>2988.5</v>
      </c>
    </row>
    <row r="537" spans="1:7" ht="47.25">
      <c r="A537" s="69" t="s">
        <v>14</v>
      </c>
      <c r="B537" s="69" t="s">
        <v>63</v>
      </c>
      <c r="C537" s="69" t="s">
        <v>278</v>
      </c>
      <c r="D537" s="69" t="s">
        <v>93</v>
      </c>
      <c r="E537" s="70" t="s">
        <v>383</v>
      </c>
      <c r="F537" s="73">
        <f>F538</f>
        <v>2990.7000000000003</v>
      </c>
      <c r="G537" s="73">
        <f t="shared" si="240"/>
        <v>2988.5</v>
      </c>
    </row>
    <row r="538" spans="1:7" ht="31.5">
      <c r="A538" s="69" t="s">
        <v>14</v>
      </c>
      <c r="B538" s="69" t="s">
        <v>63</v>
      </c>
      <c r="C538" s="69" t="s">
        <v>279</v>
      </c>
      <c r="D538" s="69" t="s">
        <v>93</v>
      </c>
      <c r="E538" s="70" t="s">
        <v>114</v>
      </c>
      <c r="F538" s="73">
        <f>F539</f>
        <v>2990.7000000000003</v>
      </c>
      <c r="G538" s="73">
        <f t="shared" si="240"/>
        <v>2988.5</v>
      </c>
    </row>
    <row r="539" spans="1:7" ht="31.5">
      <c r="A539" s="69" t="s">
        <v>14</v>
      </c>
      <c r="B539" s="69" t="s">
        <v>63</v>
      </c>
      <c r="C539" s="69" t="s">
        <v>472</v>
      </c>
      <c r="D539" s="81" t="s">
        <v>93</v>
      </c>
      <c r="E539" s="70" t="s">
        <v>473</v>
      </c>
      <c r="F539" s="73">
        <f>F544+F540+F542</f>
        <v>2990.7000000000003</v>
      </c>
      <c r="G539" s="73">
        <f aca="true" t="shared" si="241" ref="G539">G544+G540+G542</f>
        <v>2988.5</v>
      </c>
    </row>
    <row r="540" spans="1:7" ht="47.25">
      <c r="A540" s="14" t="s">
        <v>14</v>
      </c>
      <c r="B540" s="14" t="s">
        <v>63</v>
      </c>
      <c r="C540" s="14" t="s">
        <v>561</v>
      </c>
      <c r="D540" s="256"/>
      <c r="E540" s="48" t="s">
        <v>562</v>
      </c>
      <c r="F540" s="73">
        <f>F541</f>
        <v>53.400000000000006</v>
      </c>
      <c r="G540" s="73">
        <f aca="true" t="shared" si="242" ref="G540">G541</f>
        <v>53.3</v>
      </c>
    </row>
    <row r="541" spans="1:7" ht="12.75">
      <c r="A541" s="14" t="s">
        <v>14</v>
      </c>
      <c r="B541" s="14" t="s">
        <v>63</v>
      </c>
      <c r="C541" s="14" t="s">
        <v>561</v>
      </c>
      <c r="D541" s="256" t="s">
        <v>100</v>
      </c>
      <c r="E541" s="48" t="s">
        <v>101</v>
      </c>
      <c r="F541" s="73">
        <f>90.7-37.3</f>
        <v>53.400000000000006</v>
      </c>
      <c r="G541" s="73">
        <f>53.4-0.1</f>
        <v>53.3</v>
      </c>
    </row>
    <row r="542" spans="1:7" ht="31.5">
      <c r="A542" s="14" t="s">
        <v>14</v>
      </c>
      <c r="B542" s="14" t="s">
        <v>63</v>
      </c>
      <c r="C542" s="14" t="s">
        <v>560</v>
      </c>
      <c r="D542" s="256"/>
      <c r="E542" s="48" t="s">
        <v>563</v>
      </c>
      <c r="F542" s="73">
        <f>F543</f>
        <v>2776.4</v>
      </c>
      <c r="G542" s="73">
        <f aca="true" t="shared" si="243" ref="G542">G543</f>
        <v>2776.4</v>
      </c>
    </row>
    <row r="543" spans="1:7" ht="31.5">
      <c r="A543" s="14" t="s">
        <v>14</v>
      </c>
      <c r="B543" s="14" t="s">
        <v>63</v>
      </c>
      <c r="C543" s="14" t="s">
        <v>560</v>
      </c>
      <c r="D543" s="256">
        <v>600</v>
      </c>
      <c r="E543" s="48" t="s">
        <v>117</v>
      </c>
      <c r="F543" s="73">
        <f>2739.1+37.3</f>
        <v>2776.4</v>
      </c>
      <c r="G543" s="73">
        <v>2776.4</v>
      </c>
    </row>
    <row r="544" spans="1:7" ht="31.5">
      <c r="A544" s="69" t="s">
        <v>14</v>
      </c>
      <c r="B544" s="69" t="s">
        <v>63</v>
      </c>
      <c r="C544" s="69" t="s">
        <v>475</v>
      </c>
      <c r="D544" s="69" t="s">
        <v>93</v>
      </c>
      <c r="E544" s="70" t="s">
        <v>194</v>
      </c>
      <c r="F544" s="73">
        <f>F545</f>
        <v>160.9</v>
      </c>
      <c r="G544" s="73">
        <f t="shared" si="240"/>
        <v>158.8</v>
      </c>
    </row>
    <row r="545" spans="1:7" ht="12.75">
      <c r="A545" s="69" t="s">
        <v>14</v>
      </c>
      <c r="B545" s="69" t="s">
        <v>63</v>
      </c>
      <c r="C545" s="69" t="s">
        <v>475</v>
      </c>
      <c r="D545" s="69" t="s">
        <v>100</v>
      </c>
      <c r="E545" s="70" t="s">
        <v>101</v>
      </c>
      <c r="F545" s="73">
        <f>163-2.1</f>
        <v>160.9</v>
      </c>
      <c r="G545" s="73">
        <v>158.8</v>
      </c>
    </row>
    <row r="546" spans="1:7" ht="12.75">
      <c r="A546" s="69" t="s">
        <v>14</v>
      </c>
      <c r="B546" s="69" t="s">
        <v>79</v>
      </c>
      <c r="C546" s="69" t="s">
        <v>93</v>
      </c>
      <c r="D546" s="69" t="s">
        <v>93</v>
      </c>
      <c r="E546" s="70" t="s">
        <v>17</v>
      </c>
      <c r="F546" s="73">
        <f>F547</f>
        <v>14004.699999999997</v>
      </c>
      <c r="G546" s="73">
        <f aca="true" t="shared" si="244" ref="G546:G548">G547</f>
        <v>13975.099999999999</v>
      </c>
    </row>
    <row r="547" spans="1:7" ht="47.25">
      <c r="A547" s="69" t="s">
        <v>14</v>
      </c>
      <c r="B547" s="69" t="s">
        <v>79</v>
      </c>
      <c r="C547" s="69" t="s">
        <v>278</v>
      </c>
      <c r="D547" s="69" t="s">
        <v>93</v>
      </c>
      <c r="E547" s="70" t="s">
        <v>383</v>
      </c>
      <c r="F547" s="73">
        <f>F548</f>
        <v>14004.699999999997</v>
      </c>
      <c r="G547" s="73">
        <f t="shared" si="244"/>
        <v>13975.099999999999</v>
      </c>
    </row>
    <row r="548" spans="1:7" ht="12.75">
      <c r="A548" s="69" t="s">
        <v>14</v>
      </c>
      <c r="B548" s="69" t="s">
        <v>79</v>
      </c>
      <c r="C548" s="69" t="s">
        <v>302</v>
      </c>
      <c r="D548" s="69" t="s">
        <v>93</v>
      </c>
      <c r="E548" s="70" t="s">
        <v>2</v>
      </c>
      <c r="F548" s="73">
        <f>F549</f>
        <v>14004.699999999997</v>
      </c>
      <c r="G548" s="73">
        <f t="shared" si="244"/>
        <v>13975.099999999999</v>
      </c>
    </row>
    <row r="549" spans="1:7" ht="31.5">
      <c r="A549" s="69" t="s">
        <v>14</v>
      </c>
      <c r="B549" s="69" t="s">
        <v>79</v>
      </c>
      <c r="C549" s="69" t="s">
        <v>476</v>
      </c>
      <c r="D549" s="81" t="s">
        <v>93</v>
      </c>
      <c r="E549" s="70" t="s">
        <v>477</v>
      </c>
      <c r="F549" s="73">
        <f>F550+F555+F559</f>
        <v>14004.699999999997</v>
      </c>
      <c r="G549" s="73">
        <f aca="true" t="shared" si="245" ref="G549">G550+G555+G559</f>
        <v>13975.099999999999</v>
      </c>
    </row>
    <row r="550" spans="1:7" ht="47.25">
      <c r="A550" s="69" t="s">
        <v>14</v>
      </c>
      <c r="B550" s="69" t="s">
        <v>79</v>
      </c>
      <c r="C550" s="69" t="s">
        <v>304</v>
      </c>
      <c r="D550" s="69" t="s">
        <v>93</v>
      </c>
      <c r="E550" s="70" t="s">
        <v>123</v>
      </c>
      <c r="F550" s="73">
        <f>F551+F552+F554+F553</f>
        <v>8499.899999999998</v>
      </c>
      <c r="G550" s="73">
        <f aca="true" t="shared" si="246" ref="G550">G551+G552+G554+G553</f>
        <v>8470.3</v>
      </c>
    </row>
    <row r="551" spans="1:7" ht="78.75">
      <c r="A551" s="69" t="s">
        <v>14</v>
      </c>
      <c r="B551" s="69" t="s">
        <v>79</v>
      </c>
      <c r="C551" s="69" t="s">
        <v>304</v>
      </c>
      <c r="D551" s="69" t="s">
        <v>95</v>
      </c>
      <c r="E551" s="70" t="s">
        <v>3</v>
      </c>
      <c r="F551" s="73">
        <f>6262.2+156.7</f>
        <v>6418.9</v>
      </c>
      <c r="G551" s="73">
        <v>6389.3</v>
      </c>
    </row>
    <row r="552" spans="1:7" ht="31.5">
      <c r="A552" s="69" t="s">
        <v>14</v>
      </c>
      <c r="B552" s="69" t="s">
        <v>79</v>
      </c>
      <c r="C552" s="69" t="s">
        <v>304</v>
      </c>
      <c r="D552" s="69" t="s">
        <v>96</v>
      </c>
      <c r="E552" s="70" t="s">
        <v>329</v>
      </c>
      <c r="F552" s="73">
        <f>2293.4-111.3-9.1-75.5-156.7</f>
        <v>1940.8</v>
      </c>
      <c r="G552" s="73">
        <v>1940.8</v>
      </c>
    </row>
    <row r="553" spans="1:7" ht="12.75">
      <c r="A553" s="69" t="s">
        <v>14</v>
      </c>
      <c r="B553" s="69" t="s">
        <v>79</v>
      </c>
      <c r="C553" s="69" t="s">
        <v>304</v>
      </c>
      <c r="D553" s="69" t="s">
        <v>100</v>
      </c>
      <c r="E553" s="70" t="s">
        <v>101</v>
      </c>
      <c r="F553" s="73">
        <v>111.3</v>
      </c>
      <c r="G553" s="73">
        <v>111.3</v>
      </c>
    </row>
    <row r="554" spans="1:7" ht="12.75">
      <c r="A554" s="69" t="s">
        <v>14</v>
      </c>
      <c r="B554" s="69" t="s">
        <v>79</v>
      </c>
      <c r="C554" s="69" t="s">
        <v>304</v>
      </c>
      <c r="D554" s="69" t="s">
        <v>97</v>
      </c>
      <c r="E554" s="70" t="s">
        <v>98</v>
      </c>
      <c r="F554" s="73">
        <f>193.8-115-49.9</f>
        <v>28.900000000000013</v>
      </c>
      <c r="G554" s="73">
        <v>28.9</v>
      </c>
    </row>
    <row r="555" spans="1:7" ht="47.25">
      <c r="A555" s="69" t="s">
        <v>14</v>
      </c>
      <c r="B555" s="69" t="s">
        <v>79</v>
      </c>
      <c r="C555" s="69" t="s">
        <v>305</v>
      </c>
      <c r="D555" s="69" t="s">
        <v>93</v>
      </c>
      <c r="E555" s="70" t="s">
        <v>124</v>
      </c>
      <c r="F555" s="73">
        <f>F556+F557+F558</f>
        <v>3522.9</v>
      </c>
      <c r="G555" s="73">
        <f aca="true" t="shared" si="247" ref="G555">G556+G557+G558</f>
        <v>3522.9</v>
      </c>
    </row>
    <row r="556" spans="1:7" ht="78.75">
      <c r="A556" s="69" t="s">
        <v>14</v>
      </c>
      <c r="B556" s="69" t="s">
        <v>79</v>
      </c>
      <c r="C556" s="69" t="s">
        <v>305</v>
      </c>
      <c r="D556" s="69" t="s">
        <v>95</v>
      </c>
      <c r="E556" s="70" t="s">
        <v>3</v>
      </c>
      <c r="F556" s="73">
        <v>2756.5</v>
      </c>
      <c r="G556" s="73">
        <v>2756.5</v>
      </c>
    </row>
    <row r="557" spans="1:7" ht="31.5">
      <c r="A557" s="69" t="s">
        <v>14</v>
      </c>
      <c r="B557" s="69" t="s">
        <v>79</v>
      </c>
      <c r="C557" s="69" t="s">
        <v>305</v>
      </c>
      <c r="D557" s="69" t="s">
        <v>96</v>
      </c>
      <c r="E557" s="70" t="s">
        <v>329</v>
      </c>
      <c r="F557" s="73">
        <f>592.4+174-0.8</f>
        <v>765.6</v>
      </c>
      <c r="G557" s="73">
        <v>765.6</v>
      </c>
    </row>
    <row r="558" spans="1:7" ht="12.75">
      <c r="A558" s="69" t="s">
        <v>14</v>
      </c>
      <c r="B558" s="69" t="s">
        <v>79</v>
      </c>
      <c r="C558" s="69" t="s">
        <v>305</v>
      </c>
      <c r="D558" s="69" t="s">
        <v>97</v>
      </c>
      <c r="E558" s="70" t="s">
        <v>98</v>
      </c>
      <c r="F558" s="73">
        <v>0.8</v>
      </c>
      <c r="G558" s="73">
        <v>0.8</v>
      </c>
    </row>
    <row r="559" spans="1:7" ht="78.75">
      <c r="A559" s="69" t="s">
        <v>14</v>
      </c>
      <c r="B559" s="69" t="s">
        <v>79</v>
      </c>
      <c r="C559" s="69" t="s">
        <v>303</v>
      </c>
      <c r="D559" s="69" t="s">
        <v>93</v>
      </c>
      <c r="E559" s="70" t="s">
        <v>330</v>
      </c>
      <c r="F559" s="73">
        <f>F560</f>
        <v>1981.9</v>
      </c>
      <c r="G559" s="73">
        <f aca="true" t="shared" si="248" ref="G559">G560</f>
        <v>1981.9</v>
      </c>
    </row>
    <row r="560" spans="1:7" ht="78.75">
      <c r="A560" s="69" t="s">
        <v>14</v>
      </c>
      <c r="B560" s="69" t="s">
        <v>79</v>
      </c>
      <c r="C560" s="69" t="s">
        <v>303</v>
      </c>
      <c r="D560" s="69" t="s">
        <v>95</v>
      </c>
      <c r="E560" s="70" t="s">
        <v>3</v>
      </c>
      <c r="F560" s="73">
        <f>1829.9+152</f>
        <v>1981.9</v>
      </c>
      <c r="G560" s="73">
        <v>1981.9</v>
      </c>
    </row>
    <row r="561" spans="1:7" ht="12.75">
      <c r="A561" s="69" t="s">
        <v>14</v>
      </c>
      <c r="B561" s="69" t="s">
        <v>64</v>
      </c>
      <c r="C561" s="69" t="s">
        <v>93</v>
      </c>
      <c r="D561" s="69" t="s">
        <v>93</v>
      </c>
      <c r="E561" s="70" t="s">
        <v>56</v>
      </c>
      <c r="F561" s="73">
        <f>F562</f>
        <v>9069.300000000001</v>
      </c>
      <c r="G561" s="73">
        <f aca="true" t="shared" si="249" ref="G561:G562">G562</f>
        <v>9069.3</v>
      </c>
    </row>
    <row r="562" spans="1:7" ht="12.75">
      <c r="A562" s="69" t="s">
        <v>14</v>
      </c>
      <c r="B562" s="69" t="s">
        <v>125</v>
      </c>
      <c r="C562" s="69" t="s">
        <v>93</v>
      </c>
      <c r="D562" s="69" t="s">
        <v>93</v>
      </c>
      <c r="E562" s="70" t="s">
        <v>126</v>
      </c>
      <c r="F562" s="73">
        <f>F563</f>
        <v>9069.300000000001</v>
      </c>
      <c r="G562" s="73">
        <f t="shared" si="249"/>
        <v>9069.3</v>
      </c>
    </row>
    <row r="563" spans="1:7" ht="47.25">
      <c r="A563" s="69" t="s">
        <v>14</v>
      </c>
      <c r="B563" s="69" t="s">
        <v>125</v>
      </c>
      <c r="C563" s="69" t="s">
        <v>278</v>
      </c>
      <c r="D563" s="69" t="s">
        <v>93</v>
      </c>
      <c r="E563" s="70" t="s">
        <v>383</v>
      </c>
      <c r="F563" s="73">
        <f>F564</f>
        <v>9069.300000000001</v>
      </c>
      <c r="G563" s="73">
        <f aca="true" t="shared" si="250" ref="G563:G565">G564</f>
        <v>9069.3</v>
      </c>
    </row>
    <row r="564" spans="1:7" ht="31.5">
      <c r="A564" s="69" t="s">
        <v>14</v>
      </c>
      <c r="B564" s="69" t="s">
        <v>125</v>
      </c>
      <c r="C564" s="69" t="s">
        <v>279</v>
      </c>
      <c r="D564" s="69" t="s">
        <v>93</v>
      </c>
      <c r="E564" s="70" t="s">
        <v>114</v>
      </c>
      <c r="F564" s="73">
        <f>F565</f>
        <v>9069.300000000001</v>
      </c>
      <c r="G564" s="73">
        <f t="shared" si="250"/>
        <v>9069.3</v>
      </c>
    </row>
    <row r="565" spans="1:7" ht="31.5">
      <c r="A565" s="69" t="s">
        <v>14</v>
      </c>
      <c r="B565" s="69" t="s">
        <v>125</v>
      </c>
      <c r="C565" s="69" t="s">
        <v>469</v>
      </c>
      <c r="D565" s="81" t="s">
        <v>93</v>
      </c>
      <c r="E565" s="70" t="s">
        <v>470</v>
      </c>
      <c r="F565" s="73">
        <f>F566</f>
        <v>9069.300000000001</v>
      </c>
      <c r="G565" s="73">
        <f t="shared" si="250"/>
        <v>9069.3</v>
      </c>
    </row>
    <row r="566" spans="1:7" ht="63">
      <c r="A566" s="69" t="s">
        <v>14</v>
      </c>
      <c r="B566" s="69" t="s">
        <v>125</v>
      </c>
      <c r="C566" s="69" t="s">
        <v>306</v>
      </c>
      <c r="D566" s="69" t="s">
        <v>93</v>
      </c>
      <c r="E566" s="70" t="s">
        <v>127</v>
      </c>
      <c r="F566" s="73">
        <f>F567+F568</f>
        <v>9069.300000000001</v>
      </c>
      <c r="G566" s="73">
        <f aca="true" t="shared" si="251" ref="G566">G567+G568</f>
        <v>9069.3</v>
      </c>
    </row>
    <row r="567" spans="1:7" ht="31.5">
      <c r="A567" s="69" t="s">
        <v>14</v>
      </c>
      <c r="B567" s="69" t="s">
        <v>125</v>
      </c>
      <c r="C567" s="69" t="s">
        <v>306</v>
      </c>
      <c r="D567" s="69" t="s">
        <v>96</v>
      </c>
      <c r="E567" s="70" t="s">
        <v>329</v>
      </c>
      <c r="F567" s="73">
        <f>264.2-14.2</f>
        <v>250</v>
      </c>
      <c r="G567" s="73">
        <v>250</v>
      </c>
    </row>
    <row r="568" spans="1:7" ht="12.75">
      <c r="A568" s="69" t="s">
        <v>14</v>
      </c>
      <c r="B568" s="69" t="s">
        <v>125</v>
      </c>
      <c r="C568" s="69" t="s">
        <v>306</v>
      </c>
      <c r="D568" s="69" t="s">
        <v>100</v>
      </c>
      <c r="E568" s="70" t="s">
        <v>101</v>
      </c>
      <c r="F568" s="73">
        <f>8805.1+14.2</f>
        <v>8819.300000000001</v>
      </c>
      <c r="G568" s="73">
        <v>8819.3</v>
      </c>
    </row>
  </sheetData>
  <mergeCells count="2">
    <mergeCell ref="A2:G2"/>
    <mergeCell ref="E1:G1"/>
  </mergeCells>
  <printOptions/>
  <pageMargins left="0.7874015748031497" right="0.1968503937007874" top="0.1968503937007874" bottom="0.1968503937007874" header="0.31496062992125984" footer="0.31496062992125984"/>
  <pageSetup fitToHeight="0"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F476"/>
  <sheetViews>
    <sheetView tabSelected="1" zoomScale="95" zoomScaleNormal="95" workbookViewId="0" topLeftCell="A457">
      <selection activeCell="A2" sqref="A2:F2"/>
    </sheetView>
  </sheetViews>
  <sheetFormatPr defaultColWidth="8.875" defaultRowHeight="12.75"/>
  <cols>
    <col min="1" max="1" width="7.75390625" style="162" customWidth="1"/>
    <col min="2" max="2" width="15.00390625" style="163" customWidth="1"/>
    <col min="3" max="3" width="5.625" style="163" customWidth="1"/>
    <col min="4" max="4" width="67.25390625" style="163" customWidth="1"/>
    <col min="5" max="5" width="13.00390625" style="162" customWidth="1"/>
    <col min="6" max="6" width="12.625" style="162" customWidth="1"/>
    <col min="7" max="16384" width="8.875" style="52" customWidth="1"/>
  </cols>
  <sheetData>
    <row r="1" spans="1:6" ht="51" customHeight="1">
      <c r="A1" s="292" t="s">
        <v>1147</v>
      </c>
      <c r="B1" s="292"/>
      <c r="C1" s="292"/>
      <c r="D1" s="292"/>
      <c r="E1" s="292"/>
      <c r="F1" s="292"/>
    </row>
    <row r="2" spans="1:6" ht="60.6" customHeight="1">
      <c r="A2" s="290" t="s">
        <v>1114</v>
      </c>
      <c r="B2" s="290"/>
      <c r="C2" s="290"/>
      <c r="D2" s="290"/>
      <c r="E2" s="290"/>
      <c r="F2" s="290"/>
    </row>
    <row r="3" spans="1:6" ht="47.25">
      <c r="A3" s="53" t="s">
        <v>61</v>
      </c>
      <c r="B3" s="53" t="s">
        <v>22</v>
      </c>
      <c r="C3" s="53" t="s">
        <v>23</v>
      </c>
      <c r="D3" s="53" t="s">
        <v>24</v>
      </c>
      <c r="E3" s="129" t="s">
        <v>686</v>
      </c>
      <c r="F3" s="133" t="s">
        <v>687</v>
      </c>
    </row>
    <row r="4" spans="1:6" ht="12.75">
      <c r="A4" s="53" t="s">
        <v>6</v>
      </c>
      <c r="B4" s="53" t="s">
        <v>104</v>
      </c>
      <c r="C4" s="53" t="s">
        <v>105</v>
      </c>
      <c r="D4" s="53" t="s">
        <v>106</v>
      </c>
      <c r="E4" s="155" t="s">
        <v>107</v>
      </c>
      <c r="F4" s="69" t="s">
        <v>108</v>
      </c>
    </row>
    <row r="5" spans="1:6" ht="12.75">
      <c r="A5" s="55" t="s">
        <v>93</v>
      </c>
      <c r="B5" s="55" t="s">
        <v>93</v>
      </c>
      <c r="C5" s="55" t="s">
        <v>93</v>
      </c>
      <c r="D5" s="56" t="s">
        <v>1</v>
      </c>
      <c r="E5" s="156">
        <f>E6+E100+E118+E177+E218+E359+E402+E436+E459+E471</f>
        <v>756401.4000000001</v>
      </c>
      <c r="F5" s="157">
        <f>F6+F100+F118+F177+F218+F359+F402+F436+F459+F471</f>
        <v>730465.6</v>
      </c>
    </row>
    <row r="6" spans="1:6" ht="12.75">
      <c r="A6" s="55" t="s">
        <v>81</v>
      </c>
      <c r="B6" s="55" t="s">
        <v>93</v>
      </c>
      <c r="C6" s="55" t="s">
        <v>93</v>
      </c>
      <c r="D6" s="44" t="s">
        <v>26</v>
      </c>
      <c r="E6" s="156">
        <f>E7+E12+E21+E33+E45+E50+E40</f>
        <v>64299.2</v>
      </c>
      <c r="F6" s="157">
        <f>F7+F12+F21+F33+F45+F50+F40</f>
        <v>60798.7</v>
      </c>
    </row>
    <row r="7" spans="1:6" ht="31.5">
      <c r="A7" s="53" t="s">
        <v>68</v>
      </c>
      <c r="B7" s="53" t="s">
        <v>93</v>
      </c>
      <c r="C7" s="53" t="s">
        <v>93</v>
      </c>
      <c r="D7" s="54" t="s">
        <v>86</v>
      </c>
      <c r="E7" s="60">
        <f>E8</f>
        <v>1589.9</v>
      </c>
      <c r="F7" s="158">
        <f aca="true" t="shared" si="0" ref="F7:F10">F8</f>
        <v>1589.9</v>
      </c>
    </row>
    <row r="8" spans="1:6" ht="47.25">
      <c r="A8" s="53" t="s">
        <v>68</v>
      </c>
      <c r="B8" s="53" t="s">
        <v>199</v>
      </c>
      <c r="C8" s="53" t="s">
        <v>93</v>
      </c>
      <c r="D8" s="54" t="s">
        <v>326</v>
      </c>
      <c r="E8" s="60">
        <f>E9</f>
        <v>1589.9</v>
      </c>
      <c r="F8" s="60">
        <f t="shared" si="0"/>
        <v>1589.9</v>
      </c>
    </row>
    <row r="9" spans="1:6" ht="12.75">
      <c r="A9" s="53" t="s">
        <v>68</v>
      </c>
      <c r="B9" s="53" t="s">
        <v>200</v>
      </c>
      <c r="C9" s="53" t="s">
        <v>93</v>
      </c>
      <c r="D9" s="54" t="s">
        <v>2</v>
      </c>
      <c r="E9" s="60">
        <f>E10</f>
        <v>1589.9</v>
      </c>
      <c r="F9" s="60">
        <f t="shared" si="0"/>
        <v>1589.9</v>
      </c>
    </row>
    <row r="10" spans="1:6" ht="12.75">
      <c r="A10" s="53" t="s">
        <v>68</v>
      </c>
      <c r="B10" s="53" t="s">
        <v>201</v>
      </c>
      <c r="C10" s="53" t="s">
        <v>93</v>
      </c>
      <c r="D10" s="54" t="s">
        <v>43</v>
      </c>
      <c r="E10" s="60">
        <f>E11</f>
        <v>1589.9</v>
      </c>
      <c r="F10" s="60">
        <f t="shared" si="0"/>
        <v>1589.9</v>
      </c>
    </row>
    <row r="11" spans="1:6" ht="63">
      <c r="A11" s="53" t="s">
        <v>68</v>
      </c>
      <c r="B11" s="53" t="s">
        <v>201</v>
      </c>
      <c r="C11" s="53" t="s">
        <v>95</v>
      </c>
      <c r="D11" s="54" t="s">
        <v>3</v>
      </c>
      <c r="E11" s="60">
        <f>'№6'!F13</f>
        <v>1589.9</v>
      </c>
      <c r="F11" s="60">
        <f>'№6'!G13</f>
        <v>1589.9</v>
      </c>
    </row>
    <row r="12" spans="1:6" ht="47.25">
      <c r="A12" s="53" t="s">
        <v>69</v>
      </c>
      <c r="B12" s="53" t="s">
        <v>93</v>
      </c>
      <c r="C12" s="53" t="s">
        <v>93</v>
      </c>
      <c r="D12" s="54" t="s">
        <v>44</v>
      </c>
      <c r="E12" s="60">
        <f>E13</f>
        <v>4059.6</v>
      </c>
      <c r="F12" s="60">
        <f aca="true" t="shared" si="1" ref="F12:F13">F13</f>
        <v>4015.9</v>
      </c>
    </row>
    <row r="13" spans="1:6" ht="12.75">
      <c r="A13" s="53" t="s">
        <v>69</v>
      </c>
      <c r="B13" s="53" t="s">
        <v>308</v>
      </c>
      <c r="C13" s="53" t="s">
        <v>93</v>
      </c>
      <c r="D13" s="54" t="s">
        <v>413</v>
      </c>
      <c r="E13" s="60">
        <f>E14</f>
        <v>4059.6</v>
      </c>
      <c r="F13" s="60">
        <f t="shared" si="1"/>
        <v>4015.9</v>
      </c>
    </row>
    <row r="14" spans="1:6" ht="47.25">
      <c r="A14" s="53" t="s">
        <v>69</v>
      </c>
      <c r="B14" s="53" t="s">
        <v>444</v>
      </c>
      <c r="C14" s="53" t="s">
        <v>93</v>
      </c>
      <c r="D14" s="54" t="s">
        <v>5</v>
      </c>
      <c r="E14" s="60">
        <f>E15+E17</f>
        <v>4059.6</v>
      </c>
      <c r="F14" s="60">
        <f>F15+F17</f>
        <v>4015.9</v>
      </c>
    </row>
    <row r="15" spans="1:6" ht="12.75">
      <c r="A15" s="53" t="s">
        <v>69</v>
      </c>
      <c r="B15" s="53" t="s">
        <v>272</v>
      </c>
      <c r="C15" s="53" t="s">
        <v>93</v>
      </c>
      <c r="D15" s="54" t="s">
        <v>445</v>
      </c>
      <c r="E15" s="60">
        <f>E16</f>
        <v>1292.5</v>
      </c>
      <c r="F15" s="60">
        <f aca="true" t="shared" si="2" ref="F15">F16</f>
        <v>1292.5</v>
      </c>
    </row>
    <row r="16" spans="1:6" ht="63">
      <c r="A16" s="53" t="s">
        <v>69</v>
      </c>
      <c r="B16" s="53" t="s">
        <v>272</v>
      </c>
      <c r="C16" s="53" t="s">
        <v>95</v>
      </c>
      <c r="D16" s="54" t="s">
        <v>3</v>
      </c>
      <c r="E16" s="60">
        <f>'№6'!F363</f>
        <v>1292.5</v>
      </c>
      <c r="F16" s="60">
        <f>'№6'!G363</f>
        <v>1292.5</v>
      </c>
    </row>
    <row r="17" spans="1:6" ht="31.5">
      <c r="A17" s="53" t="s">
        <v>69</v>
      </c>
      <c r="B17" s="53" t="s">
        <v>273</v>
      </c>
      <c r="C17" s="53" t="s">
        <v>93</v>
      </c>
      <c r="D17" s="54" t="s">
        <v>446</v>
      </c>
      <c r="E17" s="60">
        <f>E18+E19+E20</f>
        <v>2767.1</v>
      </c>
      <c r="F17" s="60">
        <f aca="true" t="shared" si="3" ref="F17">F18+F19+F20</f>
        <v>2723.4</v>
      </c>
    </row>
    <row r="18" spans="1:6" ht="63">
      <c r="A18" s="53" t="s">
        <v>69</v>
      </c>
      <c r="B18" s="53" t="s">
        <v>273</v>
      </c>
      <c r="C18" s="53" t="s">
        <v>95</v>
      </c>
      <c r="D18" s="54" t="s">
        <v>3</v>
      </c>
      <c r="E18" s="60">
        <f>'№6'!F365</f>
        <v>2192</v>
      </c>
      <c r="F18" s="60">
        <f>'№6'!G365</f>
        <v>2192</v>
      </c>
    </row>
    <row r="19" spans="1:6" ht="31.5">
      <c r="A19" s="53" t="s">
        <v>69</v>
      </c>
      <c r="B19" s="53" t="s">
        <v>273</v>
      </c>
      <c r="C19" s="53" t="s">
        <v>96</v>
      </c>
      <c r="D19" s="54" t="s">
        <v>329</v>
      </c>
      <c r="E19" s="60">
        <f>'№6'!F366</f>
        <v>573.5</v>
      </c>
      <c r="F19" s="60">
        <f>'№6'!G366</f>
        <v>529.9</v>
      </c>
    </row>
    <row r="20" spans="1:6" ht="12.75">
      <c r="A20" s="53" t="s">
        <v>69</v>
      </c>
      <c r="B20" s="53" t="s">
        <v>273</v>
      </c>
      <c r="C20" s="53" t="s">
        <v>97</v>
      </c>
      <c r="D20" s="54" t="s">
        <v>98</v>
      </c>
      <c r="E20" s="60">
        <f>'№6'!F367</f>
        <v>1.6</v>
      </c>
      <c r="F20" s="60">
        <f>'№6'!G367</f>
        <v>1.5</v>
      </c>
    </row>
    <row r="21" spans="1:6" ht="47.25">
      <c r="A21" s="53" t="s">
        <v>70</v>
      </c>
      <c r="B21" s="53" t="s">
        <v>93</v>
      </c>
      <c r="C21" s="53" t="s">
        <v>93</v>
      </c>
      <c r="D21" s="54" t="s">
        <v>45</v>
      </c>
      <c r="E21" s="60">
        <f>E22</f>
        <v>35722.5</v>
      </c>
      <c r="F21" s="60">
        <f aca="true" t="shared" si="4" ref="F21:F22">F22</f>
        <v>35325.6</v>
      </c>
    </row>
    <row r="22" spans="1:6" ht="47.25">
      <c r="A22" s="53" t="s">
        <v>70</v>
      </c>
      <c r="B22" s="53" t="s">
        <v>199</v>
      </c>
      <c r="C22" s="53" t="s">
        <v>93</v>
      </c>
      <c r="D22" s="54" t="s">
        <v>326</v>
      </c>
      <c r="E22" s="60">
        <f>E23</f>
        <v>35722.5</v>
      </c>
      <c r="F22" s="60">
        <f t="shared" si="4"/>
        <v>35325.6</v>
      </c>
    </row>
    <row r="23" spans="1:6" ht="12.75">
      <c r="A23" s="53" t="s">
        <v>70</v>
      </c>
      <c r="B23" s="53" t="s">
        <v>200</v>
      </c>
      <c r="C23" s="53" t="s">
        <v>93</v>
      </c>
      <c r="D23" s="54" t="s">
        <v>2</v>
      </c>
      <c r="E23" s="60">
        <f>E24+E27+E31</f>
        <v>35722.5</v>
      </c>
      <c r="F23" s="60">
        <f aca="true" t="shared" si="5" ref="F23">F24+F27+F31</f>
        <v>35325.6</v>
      </c>
    </row>
    <row r="24" spans="1:6" ht="47.25">
      <c r="A24" s="53" t="s">
        <v>70</v>
      </c>
      <c r="B24" s="53" t="s">
        <v>204</v>
      </c>
      <c r="C24" s="53" t="s">
        <v>93</v>
      </c>
      <c r="D24" s="54" t="s">
        <v>310</v>
      </c>
      <c r="E24" s="60">
        <f>E25+E26</f>
        <v>650</v>
      </c>
      <c r="F24" s="60">
        <f aca="true" t="shared" si="6" ref="F24">F25+F26</f>
        <v>650</v>
      </c>
    </row>
    <row r="25" spans="1:6" ht="63">
      <c r="A25" s="53" t="s">
        <v>70</v>
      </c>
      <c r="B25" s="53" t="s">
        <v>204</v>
      </c>
      <c r="C25" s="53" t="s">
        <v>95</v>
      </c>
      <c r="D25" s="54" t="s">
        <v>3</v>
      </c>
      <c r="E25" s="60">
        <f>'№6'!F19</f>
        <v>592.3</v>
      </c>
      <c r="F25" s="60">
        <f>'№6'!G19</f>
        <v>592.3</v>
      </c>
    </row>
    <row r="26" spans="1:6" ht="31.5">
      <c r="A26" s="53" t="s">
        <v>70</v>
      </c>
      <c r="B26" s="53" t="s">
        <v>204</v>
      </c>
      <c r="C26" s="53" t="s">
        <v>96</v>
      </c>
      <c r="D26" s="54" t="s">
        <v>329</v>
      </c>
      <c r="E26" s="60">
        <f>'№6'!F20</f>
        <v>57.7</v>
      </c>
      <c r="F26" s="60">
        <f>'№6'!G20</f>
        <v>57.7</v>
      </c>
    </row>
    <row r="27" spans="1:6" ht="63">
      <c r="A27" s="53" t="s">
        <v>70</v>
      </c>
      <c r="B27" s="53" t="s">
        <v>202</v>
      </c>
      <c r="C27" s="53" t="s">
        <v>93</v>
      </c>
      <c r="D27" s="54" t="s">
        <v>330</v>
      </c>
      <c r="E27" s="60">
        <f>E28+E29+E30</f>
        <v>35001.4</v>
      </c>
      <c r="F27" s="60">
        <f aca="true" t="shared" si="7" ref="F27">F28+F29+F30</f>
        <v>34604.5</v>
      </c>
    </row>
    <row r="28" spans="1:6" ht="63">
      <c r="A28" s="53" t="s">
        <v>70</v>
      </c>
      <c r="B28" s="53" t="s">
        <v>202</v>
      </c>
      <c r="C28" s="53" t="s">
        <v>95</v>
      </c>
      <c r="D28" s="54" t="s">
        <v>3</v>
      </c>
      <c r="E28" s="60">
        <f>'№6'!F22</f>
        <v>30127</v>
      </c>
      <c r="F28" s="60">
        <f>'№6'!G22</f>
        <v>30127</v>
      </c>
    </row>
    <row r="29" spans="1:6" ht="31.5">
      <c r="A29" s="53" t="s">
        <v>70</v>
      </c>
      <c r="B29" s="53" t="s">
        <v>202</v>
      </c>
      <c r="C29" s="53" t="s">
        <v>96</v>
      </c>
      <c r="D29" s="54" t="s">
        <v>329</v>
      </c>
      <c r="E29" s="60">
        <f>'№6'!F23</f>
        <v>4767.1</v>
      </c>
      <c r="F29" s="60">
        <f>'№6'!G23</f>
        <v>4382.7</v>
      </c>
    </row>
    <row r="30" spans="1:6" ht="12.75">
      <c r="A30" s="53" t="s">
        <v>70</v>
      </c>
      <c r="B30" s="53" t="s">
        <v>202</v>
      </c>
      <c r="C30" s="53" t="s">
        <v>97</v>
      </c>
      <c r="D30" s="54" t="s">
        <v>98</v>
      </c>
      <c r="E30" s="60">
        <f>'№6'!F24</f>
        <v>107.3</v>
      </c>
      <c r="F30" s="60">
        <f>'№6'!G24</f>
        <v>94.8</v>
      </c>
    </row>
    <row r="31" spans="1:6" ht="47.25">
      <c r="A31" s="53" t="s">
        <v>70</v>
      </c>
      <c r="B31" s="53" t="s">
        <v>203</v>
      </c>
      <c r="C31" s="53" t="s">
        <v>93</v>
      </c>
      <c r="D31" s="54" t="s">
        <v>331</v>
      </c>
      <c r="E31" s="60">
        <f>E32</f>
        <v>71.1</v>
      </c>
      <c r="F31" s="60">
        <f aca="true" t="shared" si="8" ref="F31">F32</f>
        <v>71.1</v>
      </c>
    </row>
    <row r="32" spans="1:6" ht="63">
      <c r="A32" s="53" t="s">
        <v>70</v>
      </c>
      <c r="B32" s="53" t="s">
        <v>203</v>
      </c>
      <c r="C32" s="53" t="s">
        <v>95</v>
      </c>
      <c r="D32" s="54" t="s">
        <v>3</v>
      </c>
      <c r="E32" s="60">
        <f>'№6'!F26</f>
        <v>71.1</v>
      </c>
      <c r="F32" s="60">
        <f>'№6'!G26</f>
        <v>71.1</v>
      </c>
    </row>
    <row r="33" spans="1:6" ht="35.25" customHeight="1">
      <c r="A33" s="53" t="s">
        <v>71</v>
      </c>
      <c r="B33" s="53" t="s">
        <v>93</v>
      </c>
      <c r="C33" s="53" t="s">
        <v>93</v>
      </c>
      <c r="D33" s="54" t="s">
        <v>12</v>
      </c>
      <c r="E33" s="60">
        <f>E34</f>
        <v>9521.5</v>
      </c>
      <c r="F33" s="60">
        <f aca="true" t="shared" si="9" ref="F33:F35">F34</f>
        <v>9521.1</v>
      </c>
    </row>
    <row r="34" spans="1:6" ht="30.75" customHeight="1">
      <c r="A34" s="53" t="s">
        <v>71</v>
      </c>
      <c r="B34" s="53" t="s">
        <v>255</v>
      </c>
      <c r="C34" s="53" t="s">
        <v>93</v>
      </c>
      <c r="D34" s="54" t="s">
        <v>410</v>
      </c>
      <c r="E34" s="60">
        <f>E35</f>
        <v>9521.5</v>
      </c>
      <c r="F34" s="60">
        <f t="shared" si="9"/>
        <v>9521.1</v>
      </c>
    </row>
    <row r="35" spans="1:6" ht="12.75">
      <c r="A35" s="53" t="s">
        <v>71</v>
      </c>
      <c r="B35" s="53" t="s">
        <v>256</v>
      </c>
      <c r="C35" s="53" t="s">
        <v>93</v>
      </c>
      <c r="D35" s="54" t="s">
        <v>2</v>
      </c>
      <c r="E35" s="60">
        <f>E36</f>
        <v>9521.5</v>
      </c>
      <c r="F35" s="60">
        <f t="shared" si="9"/>
        <v>9521.1</v>
      </c>
    </row>
    <row r="36" spans="1:6" ht="63">
      <c r="A36" s="53" t="s">
        <v>71</v>
      </c>
      <c r="B36" s="53" t="s">
        <v>257</v>
      </c>
      <c r="C36" s="53" t="s">
        <v>93</v>
      </c>
      <c r="D36" s="54" t="s">
        <v>330</v>
      </c>
      <c r="E36" s="60">
        <f>E37+E38+E39</f>
        <v>9521.5</v>
      </c>
      <c r="F36" s="60">
        <f aca="true" t="shared" si="10" ref="F36">F37+F38+F39</f>
        <v>9521.1</v>
      </c>
    </row>
    <row r="37" spans="1:6" ht="63">
      <c r="A37" s="53" t="s">
        <v>71</v>
      </c>
      <c r="B37" s="53" t="s">
        <v>257</v>
      </c>
      <c r="C37" s="53" t="s">
        <v>95</v>
      </c>
      <c r="D37" s="54" t="s">
        <v>3</v>
      </c>
      <c r="E37" s="60">
        <f>'№6'!F296</f>
        <v>8007.7</v>
      </c>
      <c r="F37" s="60">
        <f>'№6'!G296</f>
        <v>8007.7</v>
      </c>
    </row>
    <row r="38" spans="1:6" ht="31.5">
      <c r="A38" s="53" t="s">
        <v>71</v>
      </c>
      <c r="B38" s="53" t="s">
        <v>257</v>
      </c>
      <c r="C38" s="53" t="s">
        <v>96</v>
      </c>
      <c r="D38" s="54" t="s">
        <v>329</v>
      </c>
      <c r="E38" s="60">
        <f>'№6'!F297</f>
        <v>1425.2</v>
      </c>
      <c r="F38" s="60">
        <f>'№6'!G297</f>
        <v>1424.8</v>
      </c>
    </row>
    <row r="39" spans="1:6" ht="12.75">
      <c r="A39" s="53" t="s">
        <v>71</v>
      </c>
      <c r="B39" s="53" t="s">
        <v>257</v>
      </c>
      <c r="C39" s="53" t="s">
        <v>97</v>
      </c>
      <c r="D39" s="54" t="s">
        <v>98</v>
      </c>
      <c r="E39" s="60">
        <f>'№6'!F298</f>
        <v>88.60000000000001</v>
      </c>
      <c r="F39" s="60">
        <f>'№6'!G298</f>
        <v>88.6</v>
      </c>
    </row>
    <row r="40" spans="1:6" ht="12.75">
      <c r="A40" s="61" t="s">
        <v>539</v>
      </c>
      <c r="B40" s="62"/>
      <c r="C40" s="133"/>
      <c r="D40" s="48" t="s">
        <v>540</v>
      </c>
      <c r="E40" s="60">
        <f>E41</f>
        <v>280</v>
      </c>
      <c r="F40" s="60">
        <f aca="true" t="shared" si="11" ref="F40:F43">F41</f>
        <v>280</v>
      </c>
    </row>
    <row r="41" spans="1:6" ht="12.75">
      <c r="A41" s="61" t="s">
        <v>539</v>
      </c>
      <c r="B41" s="53" t="s">
        <v>308</v>
      </c>
      <c r="C41" s="53" t="s">
        <v>93</v>
      </c>
      <c r="D41" s="54" t="s">
        <v>413</v>
      </c>
      <c r="E41" s="60">
        <f>E42</f>
        <v>280</v>
      </c>
      <c r="F41" s="60">
        <f t="shared" si="11"/>
        <v>280</v>
      </c>
    </row>
    <row r="42" spans="1:6" ht="31.5">
      <c r="A42" s="61" t="s">
        <v>539</v>
      </c>
      <c r="B42" s="63">
        <v>9940000000</v>
      </c>
      <c r="C42" s="133"/>
      <c r="D42" s="48" t="s">
        <v>421</v>
      </c>
      <c r="E42" s="60">
        <f>E43</f>
        <v>280</v>
      </c>
      <c r="F42" s="60">
        <f t="shared" si="11"/>
        <v>280</v>
      </c>
    </row>
    <row r="43" spans="1:6" ht="31.5">
      <c r="A43" s="61" t="s">
        <v>539</v>
      </c>
      <c r="B43" s="53" t="s">
        <v>541</v>
      </c>
      <c r="C43" s="53"/>
      <c r="D43" s="54" t="s">
        <v>542</v>
      </c>
      <c r="E43" s="60">
        <f>E44</f>
        <v>280</v>
      </c>
      <c r="F43" s="60">
        <f t="shared" si="11"/>
        <v>280</v>
      </c>
    </row>
    <row r="44" spans="1:6" ht="12.75">
      <c r="A44" s="61" t="s">
        <v>539</v>
      </c>
      <c r="B44" s="53" t="s">
        <v>541</v>
      </c>
      <c r="C44" s="53" t="s">
        <v>97</v>
      </c>
      <c r="D44" s="54" t="s">
        <v>98</v>
      </c>
      <c r="E44" s="60">
        <f>'№6'!F31</f>
        <v>280</v>
      </c>
      <c r="F44" s="60">
        <f>'№6'!G31</f>
        <v>280</v>
      </c>
    </row>
    <row r="45" spans="1:6" ht="12.75">
      <c r="A45" s="53" t="s">
        <v>72</v>
      </c>
      <c r="B45" s="53" t="s">
        <v>93</v>
      </c>
      <c r="C45" s="53" t="s">
        <v>93</v>
      </c>
      <c r="D45" s="54" t="s">
        <v>13</v>
      </c>
      <c r="E45" s="60">
        <f>E46</f>
        <v>1401.2</v>
      </c>
      <c r="F45" s="60">
        <f aca="true" t="shared" si="12" ref="F45:F48">F46</f>
        <v>0</v>
      </c>
    </row>
    <row r="46" spans="1:6" ht="12.75">
      <c r="A46" s="53" t="s">
        <v>72</v>
      </c>
      <c r="B46" s="53" t="s">
        <v>308</v>
      </c>
      <c r="C46" s="53" t="s">
        <v>93</v>
      </c>
      <c r="D46" s="54" t="s">
        <v>413</v>
      </c>
      <c r="E46" s="60">
        <f>E47</f>
        <v>1401.2</v>
      </c>
      <c r="F46" s="60">
        <f t="shared" si="12"/>
        <v>0</v>
      </c>
    </row>
    <row r="47" spans="1:6" ht="12.75">
      <c r="A47" s="53" t="s">
        <v>72</v>
      </c>
      <c r="B47" s="53" t="s">
        <v>414</v>
      </c>
      <c r="C47" s="53" t="s">
        <v>93</v>
      </c>
      <c r="D47" s="54" t="s">
        <v>13</v>
      </c>
      <c r="E47" s="60">
        <f>E48</f>
        <v>1401.2</v>
      </c>
      <c r="F47" s="60">
        <f t="shared" si="12"/>
        <v>0</v>
      </c>
    </row>
    <row r="48" spans="1:6" ht="31.5">
      <c r="A48" s="53" t="s">
        <v>72</v>
      </c>
      <c r="B48" s="53" t="s">
        <v>258</v>
      </c>
      <c r="C48" s="53" t="s">
        <v>93</v>
      </c>
      <c r="D48" s="54" t="s">
        <v>131</v>
      </c>
      <c r="E48" s="60">
        <f>E49</f>
        <v>1401.2</v>
      </c>
      <c r="F48" s="60">
        <f t="shared" si="12"/>
        <v>0</v>
      </c>
    </row>
    <row r="49" spans="1:6" ht="12.75">
      <c r="A49" s="53" t="s">
        <v>72</v>
      </c>
      <c r="B49" s="53" t="s">
        <v>258</v>
      </c>
      <c r="C49" s="53" t="s">
        <v>97</v>
      </c>
      <c r="D49" s="54" t="s">
        <v>98</v>
      </c>
      <c r="E49" s="60">
        <f>'№6'!F303</f>
        <v>1401.2</v>
      </c>
      <c r="F49" s="60">
        <f>'№6'!G303</f>
        <v>0</v>
      </c>
    </row>
    <row r="50" spans="1:6" ht="12.75">
      <c r="A50" s="53" t="s">
        <v>87</v>
      </c>
      <c r="B50" s="53" t="s">
        <v>93</v>
      </c>
      <c r="C50" s="53" t="s">
        <v>93</v>
      </c>
      <c r="D50" s="54" t="s">
        <v>46</v>
      </c>
      <c r="E50" s="60">
        <f>E51+E79+E89+E96</f>
        <v>11724.5</v>
      </c>
      <c r="F50" s="60">
        <f aca="true" t="shared" si="13" ref="F50">F51+F79+F89+F96</f>
        <v>10066.199999999999</v>
      </c>
    </row>
    <row r="51" spans="1:6" ht="47.25">
      <c r="A51" s="53" t="s">
        <v>87</v>
      </c>
      <c r="B51" s="53" t="s">
        <v>199</v>
      </c>
      <c r="C51" s="53" t="s">
        <v>93</v>
      </c>
      <c r="D51" s="54" t="s">
        <v>326</v>
      </c>
      <c r="E51" s="60">
        <f>E52+E57+E67+E71+E62</f>
        <v>1714.1000000000001</v>
      </c>
      <c r="F51" s="60">
        <f aca="true" t="shared" si="14" ref="F51">F52+F57+F67+F71+F62</f>
        <v>1221.9</v>
      </c>
    </row>
    <row r="52" spans="1:6" ht="49.5" customHeight="1">
      <c r="A52" s="53" t="s">
        <v>87</v>
      </c>
      <c r="B52" s="53" t="s">
        <v>205</v>
      </c>
      <c r="C52" s="53" t="s">
        <v>93</v>
      </c>
      <c r="D52" s="54" t="s">
        <v>332</v>
      </c>
      <c r="E52" s="60">
        <f>E53+E55</f>
        <v>1069.7</v>
      </c>
      <c r="F52" s="60">
        <f aca="true" t="shared" si="15" ref="F52">F53+F55</f>
        <v>646</v>
      </c>
    </row>
    <row r="53" spans="1:6" ht="31.5">
      <c r="A53" s="53" t="s">
        <v>87</v>
      </c>
      <c r="B53" s="53" t="s">
        <v>206</v>
      </c>
      <c r="C53" s="53" t="s">
        <v>93</v>
      </c>
      <c r="D53" s="54" t="s">
        <v>156</v>
      </c>
      <c r="E53" s="60">
        <f>E54</f>
        <v>615.4</v>
      </c>
      <c r="F53" s="60">
        <f aca="true" t="shared" si="16" ref="F53">F54</f>
        <v>612</v>
      </c>
    </row>
    <row r="54" spans="1:6" ht="31.5">
      <c r="A54" s="53" t="s">
        <v>87</v>
      </c>
      <c r="B54" s="53" t="s">
        <v>206</v>
      </c>
      <c r="C54" s="53" t="s">
        <v>96</v>
      </c>
      <c r="D54" s="54" t="s">
        <v>329</v>
      </c>
      <c r="E54" s="60">
        <f>'№6'!F37</f>
        <v>615.4</v>
      </c>
      <c r="F54" s="60">
        <f>'№6'!G37</f>
        <v>612</v>
      </c>
    </row>
    <row r="55" spans="1:6" ht="31.5">
      <c r="A55" s="53" t="s">
        <v>87</v>
      </c>
      <c r="B55" s="53" t="s">
        <v>335</v>
      </c>
      <c r="C55" s="53" t="s">
        <v>93</v>
      </c>
      <c r="D55" s="54" t="s">
        <v>336</v>
      </c>
      <c r="E55" s="60">
        <f>E56</f>
        <v>454.30000000000007</v>
      </c>
      <c r="F55" s="60">
        <f aca="true" t="shared" si="17" ref="F55">F56</f>
        <v>34</v>
      </c>
    </row>
    <row r="56" spans="1:6" ht="31.5">
      <c r="A56" s="53" t="s">
        <v>87</v>
      </c>
      <c r="B56" s="53" t="s">
        <v>335</v>
      </c>
      <c r="C56" s="53" t="s">
        <v>96</v>
      </c>
      <c r="D56" s="54" t="s">
        <v>329</v>
      </c>
      <c r="E56" s="60">
        <f>'№6'!F39</f>
        <v>454.30000000000007</v>
      </c>
      <c r="F56" s="60">
        <f>'№6'!G39</f>
        <v>34</v>
      </c>
    </row>
    <row r="57" spans="1:6" ht="78.75">
      <c r="A57" s="53" t="s">
        <v>87</v>
      </c>
      <c r="B57" s="53" t="s">
        <v>207</v>
      </c>
      <c r="C57" s="53" t="s">
        <v>93</v>
      </c>
      <c r="D57" s="54" t="s">
        <v>157</v>
      </c>
      <c r="E57" s="60">
        <f>E58+E60</f>
        <v>76.5</v>
      </c>
      <c r="F57" s="60">
        <f aca="true" t="shared" si="18" ref="F57">F58+F60</f>
        <v>75.5</v>
      </c>
    </row>
    <row r="58" spans="1:6" ht="31.5" customHeight="1">
      <c r="A58" s="53" t="s">
        <v>87</v>
      </c>
      <c r="B58" s="53" t="s">
        <v>208</v>
      </c>
      <c r="C58" s="53" t="s">
        <v>93</v>
      </c>
      <c r="D58" s="54" t="s">
        <v>158</v>
      </c>
      <c r="E58" s="60">
        <f>E59</f>
        <v>51</v>
      </c>
      <c r="F58" s="60">
        <f aca="true" t="shared" si="19" ref="F58">F59</f>
        <v>50</v>
      </c>
    </row>
    <row r="59" spans="1:6" ht="12.75">
      <c r="A59" s="53" t="s">
        <v>87</v>
      </c>
      <c r="B59" s="53" t="s">
        <v>208</v>
      </c>
      <c r="C59" s="53" t="s">
        <v>97</v>
      </c>
      <c r="D59" s="54" t="s">
        <v>98</v>
      </c>
      <c r="E59" s="60">
        <f>'№6'!F43</f>
        <v>51</v>
      </c>
      <c r="F59" s="60">
        <f>'№6'!G43</f>
        <v>50</v>
      </c>
    </row>
    <row r="60" spans="1:6" ht="47.25">
      <c r="A60" s="53" t="s">
        <v>87</v>
      </c>
      <c r="B60" s="53" t="s">
        <v>209</v>
      </c>
      <c r="C60" s="53" t="s">
        <v>93</v>
      </c>
      <c r="D60" s="54" t="s">
        <v>159</v>
      </c>
      <c r="E60" s="60">
        <f>E61</f>
        <v>25.5</v>
      </c>
      <c r="F60" s="60">
        <f aca="true" t="shared" si="20" ref="F60">F61</f>
        <v>25.5</v>
      </c>
    </row>
    <row r="61" spans="1:6" ht="31.5">
      <c r="A61" s="53" t="s">
        <v>87</v>
      </c>
      <c r="B61" s="53" t="s">
        <v>209</v>
      </c>
      <c r="C61" s="53" t="s">
        <v>96</v>
      </c>
      <c r="D61" s="54" t="s">
        <v>329</v>
      </c>
      <c r="E61" s="60">
        <f>'№6'!F46</f>
        <v>25.5</v>
      </c>
      <c r="F61" s="60">
        <f>'№6'!G46</f>
        <v>25.5</v>
      </c>
    </row>
    <row r="62" spans="1:6" ht="31.5">
      <c r="A62" s="53" t="s">
        <v>87</v>
      </c>
      <c r="B62" s="53" t="s">
        <v>210</v>
      </c>
      <c r="C62" s="53" t="s">
        <v>93</v>
      </c>
      <c r="D62" s="54" t="s">
        <v>160</v>
      </c>
      <c r="E62" s="60">
        <f>E63+E65</f>
        <v>205.7</v>
      </c>
      <c r="F62" s="60">
        <f aca="true" t="shared" si="21" ref="F62">F63+F65</f>
        <v>146.39999999999998</v>
      </c>
    </row>
    <row r="63" spans="1:6" ht="31.5">
      <c r="A63" s="53" t="s">
        <v>87</v>
      </c>
      <c r="B63" s="53" t="s">
        <v>211</v>
      </c>
      <c r="C63" s="53" t="s">
        <v>93</v>
      </c>
      <c r="D63" s="54" t="s">
        <v>343</v>
      </c>
      <c r="E63" s="60">
        <f>E64</f>
        <v>107.1</v>
      </c>
      <c r="F63" s="60">
        <f aca="true" t="shared" si="22" ref="F63">F64</f>
        <v>47.8</v>
      </c>
    </row>
    <row r="64" spans="1:6" ht="12.75">
      <c r="A64" s="53" t="s">
        <v>87</v>
      </c>
      <c r="B64" s="53" t="s">
        <v>211</v>
      </c>
      <c r="C64" s="53" t="s">
        <v>100</v>
      </c>
      <c r="D64" s="54" t="s">
        <v>101</v>
      </c>
      <c r="E64" s="60">
        <f>'№6'!F50</f>
        <v>107.1</v>
      </c>
      <c r="F64" s="60">
        <f>'№6'!G50</f>
        <v>47.8</v>
      </c>
    </row>
    <row r="65" spans="1:6" ht="31.5">
      <c r="A65" s="53" t="s">
        <v>87</v>
      </c>
      <c r="B65" s="53" t="s">
        <v>625</v>
      </c>
      <c r="C65" s="53"/>
      <c r="D65" s="54" t="s">
        <v>626</v>
      </c>
      <c r="E65" s="60">
        <f>E66</f>
        <v>98.6</v>
      </c>
      <c r="F65" s="60">
        <f aca="true" t="shared" si="23" ref="F65">F66</f>
        <v>98.6</v>
      </c>
    </row>
    <row r="66" spans="1:6" ht="31.5">
      <c r="A66" s="53" t="s">
        <v>87</v>
      </c>
      <c r="B66" s="53" t="s">
        <v>625</v>
      </c>
      <c r="C66" s="53" t="s">
        <v>96</v>
      </c>
      <c r="D66" s="54" t="s">
        <v>329</v>
      </c>
      <c r="E66" s="60">
        <f>'№6'!F52</f>
        <v>98.6</v>
      </c>
      <c r="F66" s="60">
        <f>'№6'!G52</f>
        <v>98.6</v>
      </c>
    </row>
    <row r="67" spans="1:6" ht="47.25">
      <c r="A67" s="53" t="s">
        <v>87</v>
      </c>
      <c r="B67" s="53" t="s">
        <v>212</v>
      </c>
      <c r="C67" s="53" t="s">
        <v>93</v>
      </c>
      <c r="D67" s="54" t="s">
        <v>154</v>
      </c>
      <c r="E67" s="60">
        <f>E68</f>
        <v>62.199999999999996</v>
      </c>
      <c r="F67" s="60">
        <f aca="true" t="shared" si="24" ref="F67">F68</f>
        <v>62.2</v>
      </c>
    </row>
    <row r="68" spans="1:6" ht="31.5">
      <c r="A68" s="53" t="s">
        <v>87</v>
      </c>
      <c r="B68" s="53" t="s">
        <v>213</v>
      </c>
      <c r="C68" s="53" t="s">
        <v>93</v>
      </c>
      <c r="D68" s="54" t="s">
        <v>155</v>
      </c>
      <c r="E68" s="60">
        <f>E69+E70</f>
        <v>62.199999999999996</v>
      </c>
      <c r="F68" s="60">
        <f aca="true" t="shared" si="25" ref="F68">F69+F70</f>
        <v>62.2</v>
      </c>
    </row>
    <row r="69" spans="1:6" ht="31.5">
      <c r="A69" s="53" t="s">
        <v>87</v>
      </c>
      <c r="B69" s="53" t="s">
        <v>213</v>
      </c>
      <c r="C69" s="53" t="s">
        <v>96</v>
      </c>
      <c r="D69" s="54" t="s">
        <v>329</v>
      </c>
      <c r="E69" s="60">
        <f>'№6'!F56</f>
        <v>47.199999999999996</v>
      </c>
      <c r="F69" s="60">
        <f>'№6'!G56</f>
        <v>47.2</v>
      </c>
    </row>
    <row r="70" spans="1:6" ht="12.75">
      <c r="A70" s="53" t="s">
        <v>87</v>
      </c>
      <c r="B70" s="53" t="s">
        <v>213</v>
      </c>
      <c r="C70" s="53" t="s">
        <v>100</v>
      </c>
      <c r="D70" s="54" t="s">
        <v>101</v>
      </c>
      <c r="E70" s="60">
        <f>'№6'!F57</f>
        <v>15</v>
      </c>
      <c r="F70" s="60">
        <f>'№6'!G57</f>
        <v>15</v>
      </c>
    </row>
    <row r="71" spans="1:6" ht="12.75">
      <c r="A71" s="53" t="s">
        <v>87</v>
      </c>
      <c r="B71" s="53" t="s">
        <v>200</v>
      </c>
      <c r="C71" s="53" t="s">
        <v>93</v>
      </c>
      <c r="D71" s="54" t="s">
        <v>2</v>
      </c>
      <c r="E71" s="60">
        <f>E72+E77+E75</f>
        <v>300</v>
      </c>
      <c r="F71" s="60">
        <f aca="true" t="shared" si="26" ref="F71">F72+F77+F75</f>
        <v>291.8</v>
      </c>
    </row>
    <row r="72" spans="1:6" ht="67.5" customHeight="1">
      <c r="A72" s="53" t="s">
        <v>87</v>
      </c>
      <c r="B72" s="53" t="s">
        <v>214</v>
      </c>
      <c r="C72" s="53" t="s">
        <v>93</v>
      </c>
      <c r="D72" s="54" t="s">
        <v>190</v>
      </c>
      <c r="E72" s="60">
        <f>E73+E74</f>
        <v>264</v>
      </c>
      <c r="F72" s="60">
        <f aca="true" t="shared" si="27" ref="F72">F73+F74</f>
        <v>255.8</v>
      </c>
    </row>
    <row r="73" spans="1:6" ht="63">
      <c r="A73" s="53" t="s">
        <v>87</v>
      </c>
      <c r="B73" s="53" t="s">
        <v>214</v>
      </c>
      <c r="C73" s="53" t="s">
        <v>95</v>
      </c>
      <c r="D73" s="54" t="s">
        <v>3</v>
      </c>
      <c r="E73" s="60">
        <f>'№6'!F61</f>
        <v>246.4</v>
      </c>
      <c r="F73" s="60">
        <f>'№6'!G61</f>
        <v>246.4</v>
      </c>
    </row>
    <row r="74" spans="1:6" ht="31.5">
      <c r="A74" s="53" t="s">
        <v>87</v>
      </c>
      <c r="B74" s="53" t="s">
        <v>214</v>
      </c>
      <c r="C74" s="53" t="s">
        <v>96</v>
      </c>
      <c r="D74" s="54" t="s">
        <v>329</v>
      </c>
      <c r="E74" s="60">
        <f>'№6'!F62</f>
        <v>17.6</v>
      </c>
      <c r="F74" s="60">
        <f>'№6'!G62</f>
        <v>9.4</v>
      </c>
    </row>
    <row r="75" spans="1:6" ht="69" customHeight="1">
      <c r="A75" s="61" t="s">
        <v>87</v>
      </c>
      <c r="B75" s="14" t="s">
        <v>554</v>
      </c>
      <c r="C75" s="133"/>
      <c r="D75" s="59" t="s">
        <v>555</v>
      </c>
      <c r="E75" s="60">
        <f>E76</f>
        <v>2.6</v>
      </c>
      <c r="F75" s="60">
        <f aca="true" t="shared" si="28" ref="F75">F76</f>
        <v>2.6</v>
      </c>
    </row>
    <row r="76" spans="1:6" ht="63">
      <c r="A76" s="61" t="s">
        <v>87</v>
      </c>
      <c r="B76" s="14" t="s">
        <v>554</v>
      </c>
      <c r="C76" s="133" t="s">
        <v>95</v>
      </c>
      <c r="D76" s="48" t="s">
        <v>3</v>
      </c>
      <c r="E76" s="60">
        <f>'№6'!F64</f>
        <v>2.6</v>
      </c>
      <c r="F76" s="60">
        <f>'№6'!G64</f>
        <v>2.6</v>
      </c>
    </row>
    <row r="77" spans="1:6" ht="47.25">
      <c r="A77" s="53" t="s">
        <v>87</v>
      </c>
      <c r="B77" s="53" t="s">
        <v>203</v>
      </c>
      <c r="C77" s="53" t="s">
        <v>93</v>
      </c>
      <c r="D77" s="54" t="s">
        <v>331</v>
      </c>
      <c r="E77" s="60">
        <f>E78</f>
        <v>33.4</v>
      </c>
      <c r="F77" s="60">
        <f aca="true" t="shared" si="29" ref="F77">F78</f>
        <v>33.4</v>
      </c>
    </row>
    <row r="78" spans="1:6" ht="63">
      <c r="A78" s="53" t="s">
        <v>87</v>
      </c>
      <c r="B78" s="53" t="s">
        <v>203</v>
      </c>
      <c r="C78" s="53" t="s">
        <v>95</v>
      </c>
      <c r="D78" s="54" t="s">
        <v>3</v>
      </c>
      <c r="E78" s="60">
        <f>'№6'!F66</f>
        <v>33.4</v>
      </c>
      <c r="F78" s="60">
        <f>'№6'!G66</f>
        <v>33.4</v>
      </c>
    </row>
    <row r="79" spans="1:6" ht="47.25">
      <c r="A79" s="53" t="s">
        <v>87</v>
      </c>
      <c r="B79" s="53" t="s">
        <v>263</v>
      </c>
      <c r="C79" s="53" t="s">
        <v>93</v>
      </c>
      <c r="D79" s="54" t="s">
        <v>433</v>
      </c>
      <c r="E79" s="60">
        <f>E80+E85</f>
        <v>8739.3</v>
      </c>
      <c r="F79" s="60">
        <f aca="true" t="shared" si="30" ref="F79">F80+F85</f>
        <v>7803.9</v>
      </c>
    </row>
    <row r="80" spans="1:6" ht="34.5" customHeight="1">
      <c r="A80" s="53" t="s">
        <v>87</v>
      </c>
      <c r="B80" s="53" t="s">
        <v>264</v>
      </c>
      <c r="C80" s="53" t="s">
        <v>93</v>
      </c>
      <c r="D80" s="54" t="s">
        <v>146</v>
      </c>
      <c r="E80" s="60">
        <f>E81+E83</f>
        <v>2903.1000000000004</v>
      </c>
      <c r="F80" s="60">
        <f aca="true" t="shared" si="31" ref="F80">F81+F83</f>
        <v>2052.7</v>
      </c>
    </row>
    <row r="81" spans="1:6" ht="31.5">
      <c r="A81" s="53" t="s">
        <v>87</v>
      </c>
      <c r="B81" s="53" t="s">
        <v>266</v>
      </c>
      <c r="C81" s="53" t="s">
        <v>93</v>
      </c>
      <c r="D81" s="54" t="s">
        <v>147</v>
      </c>
      <c r="E81" s="60">
        <f>E82</f>
        <v>2695.1000000000004</v>
      </c>
      <c r="F81" s="60">
        <f aca="true" t="shared" si="32" ref="F81">F82</f>
        <v>1866.8</v>
      </c>
    </row>
    <row r="82" spans="1:6" ht="31.5">
      <c r="A82" s="53" t="s">
        <v>87</v>
      </c>
      <c r="B82" s="53" t="s">
        <v>266</v>
      </c>
      <c r="C82" s="53" t="s">
        <v>96</v>
      </c>
      <c r="D82" s="54" t="s">
        <v>329</v>
      </c>
      <c r="E82" s="60">
        <f>'№6'!F328</f>
        <v>2695.1000000000004</v>
      </c>
      <c r="F82" s="60">
        <f>'№6'!G328</f>
        <v>1866.8</v>
      </c>
    </row>
    <row r="83" spans="1:6" ht="31.5">
      <c r="A83" s="53" t="s">
        <v>87</v>
      </c>
      <c r="B83" s="53" t="s">
        <v>267</v>
      </c>
      <c r="C83" s="53" t="s">
        <v>93</v>
      </c>
      <c r="D83" s="54" t="s">
        <v>436</v>
      </c>
      <c r="E83" s="60">
        <f>E84</f>
        <v>208</v>
      </c>
      <c r="F83" s="60">
        <f aca="true" t="shared" si="33" ref="F83">F84</f>
        <v>185.9</v>
      </c>
    </row>
    <row r="84" spans="1:6" ht="31.5">
      <c r="A84" s="53" t="s">
        <v>87</v>
      </c>
      <c r="B84" s="53" t="s">
        <v>267</v>
      </c>
      <c r="C84" s="53" t="s">
        <v>96</v>
      </c>
      <c r="D84" s="54" t="s">
        <v>329</v>
      </c>
      <c r="E84" s="60">
        <f>'№6'!F330</f>
        <v>208</v>
      </c>
      <c r="F84" s="60">
        <f>'№6'!G330</f>
        <v>185.9</v>
      </c>
    </row>
    <row r="85" spans="1:6" ht="12.75">
      <c r="A85" s="53" t="s">
        <v>87</v>
      </c>
      <c r="B85" s="53" t="s">
        <v>268</v>
      </c>
      <c r="C85" s="53" t="s">
        <v>93</v>
      </c>
      <c r="D85" s="54" t="s">
        <v>2</v>
      </c>
      <c r="E85" s="60">
        <f>E86</f>
        <v>5836.2</v>
      </c>
      <c r="F85" s="60">
        <f aca="true" t="shared" si="34" ref="F85">F86</f>
        <v>5751.2</v>
      </c>
    </row>
    <row r="86" spans="1:6" ht="63">
      <c r="A86" s="53" t="s">
        <v>87</v>
      </c>
      <c r="B86" s="53" t="s">
        <v>265</v>
      </c>
      <c r="C86" s="53" t="s">
        <v>93</v>
      </c>
      <c r="D86" s="54" t="s">
        <v>330</v>
      </c>
      <c r="E86" s="60">
        <f>E87+E88</f>
        <v>5836.2</v>
      </c>
      <c r="F86" s="60">
        <f aca="true" t="shared" si="35" ref="F86">F87+F88</f>
        <v>5751.2</v>
      </c>
    </row>
    <row r="87" spans="1:6" ht="63">
      <c r="A87" s="53" t="s">
        <v>87</v>
      </c>
      <c r="B87" s="53" t="s">
        <v>265</v>
      </c>
      <c r="C87" s="53" t="s">
        <v>95</v>
      </c>
      <c r="D87" s="54" t="s">
        <v>3</v>
      </c>
      <c r="E87" s="60">
        <f>'№6'!F334</f>
        <v>5361.2</v>
      </c>
      <c r="F87" s="60">
        <f>'№6'!G334</f>
        <v>5335.4</v>
      </c>
    </row>
    <row r="88" spans="1:6" ht="31.5">
      <c r="A88" s="53" t="s">
        <v>87</v>
      </c>
      <c r="B88" s="53" t="s">
        <v>265</v>
      </c>
      <c r="C88" s="53" t="s">
        <v>96</v>
      </c>
      <c r="D88" s="54" t="s">
        <v>329</v>
      </c>
      <c r="E88" s="60">
        <f>'№6'!F335</f>
        <v>475</v>
      </c>
      <c r="F88" s="60">
        <f>'№6'!G335</f>
        <v>415.8</v>
      </c>
    </row>
    <row r="89" spans="1:6" ht="35.25" customHeight="1">
      <c r="A89" s="53" t="s">
        <v>87</v>
      </c>
      <c r="B89" s="53" t="s">
        <v>255</v>
      </c>
      <c r="C89" s="53" t="s">
        <v>93</v>
      </c>
      <c r="D89" s="54" t="s">
        <v>410</v>
      </c>
      <c r="E89" s="60">
        <f>E90+E93</f>
        <v>1141</v>
      </c>
      <c r="F89" s="60">
        <f aca="true" t="shared" si="36" ref="F89">F90+F93</f>
        <v>910.3</v>
      </c>
    </row>
    <row r="90" spans="1:6" ht="31.5">
      <c r="A90" s="53" t="s">
        <v>87</v>
      </c>
      <c r="B90" s="53" t="s">
        <v>259</v>
      </c>
      <c r="C90" s="53" t="s">
        <v>93</v>
      </c>
      <c r="D90" s="54" t="s">
        <v>415</v>
      </c>
      <c r="E90" s="60">
        <f>E91</f>
        <v>1114.7</v>
      </c>
      <c r="F90" s="60">
        <f aca="true" t="shared" si="37" ref="F90:F91">F91</f>
        <v>884</v>
      </c>
    </row>
    <row r="91" spans="1:6" ht="47.25">
      <c r="A91" s="53" t="s">
        <v>87</v>
      </c>
      <c r="B91" s="53" t="s">
        <v>260</v>
      </c>
      <c r="C91" s="53" t="s">
        <v>93</v>
      </c>
      <c r="D91" s="54" t="s">
        <v>189</v>
      </c>
      <c r="E91" s="60">
        <f>E92</f>
        <v>1114.7</v>
      </c>
      <c r="F91" s="60">
        <f t="shared" si="37"/>
        <v>884</v>
      </c>
    </row>
    <row r="92" spans="1:6" ht="31.5">
      <c r="A92" s="53" t="s">
        <v>87</v>
      </c>
      <c r="B92" s="53" t="s">
        <v>260</v>
      </c>
      <c r="C92" s="53" t="s">
        <v>96</v>
      </c>
      <c r="D92" s="54" t="s">
        <v>329</v>
      </c>
      <c r="E92" s="60">
        <f>'№6'!F309</f>
        <v>1114.7</v>
      </c>
      <c r="F92" s="60">
        <f>'№6'!G309</f>
        <v>884</v>
      </c>
    </row>
    <row r="93" spans="1:6" ht="12.75">
      <c r="A93" s="53" t="s">
        <v>87</v>
      </c>
      <c r="B93" s="53" t="s">
        <v>261</v>
      </c>
      <c r="C93" s="53" t="s">
        <v>93</v>
      </c>
      <c r="D93" s="54" t="s">
        <v>129</v>
      </c>
      <c r="E93" s="60">
        <f>E94</f>
        <v>26.3</v>
      </c>
      <c r="F93" s="60">
        <f aca="true" t="shared" si="38" ref="F93:F94">F94</f>
        <v>26.3</v>
      </c>
    </row>
    <row r="94" spans="1:6" ht="31.5" customHeight="1">
      <c r="A94" s="53" t="s">
        <v>87</v>
      </c>
      <c r="B94" s="53" t="s">
        <v>262</v>
      </c>
      <c r="C94" s="53" t="s">
        <v>93</v>
      </c>
      <c r="D94" s="54" t="s">
        <v>130</v>
      </c>
      <c r="E94" s="60">
        <f>E95</f>
        <v>26.3</v>
      </c>
      <c r="F94" s="60">
        <f t="shared" si="38"/>
        <v>26.3</v>
      </c>
    </row>
    <row r="95" spans="1:6" ht="31.5">
      <c r="A95" s="53" t="s">
        <v>87</v>
      </c>
      <c r="B95" s="53" t="s">
        <v>262</v>
      </c>
      <c r="C95" s="53" t="s">
        <v>96</v>
      </c>
      <c r="D95" s="54" t="s">
        <v>329</v>
      </c>
      <c r="E95" s="60">
        <f>'№6'!F313</f>
        <v>26.3</v>
      </c>
      <c r="F95" s="60">
        <f>'№6'!G313</f>
        <v>26.3</v>
      </c>
    </row>
    <row r="96" spans="1:6" ht="12.75">
      <c r="A96" s="53" t="s">
        <v>87</v>
      </c>
      <c r="B96" s="53" t="s">
        <v>308</v>
      </c>
      <c r="C96" s="53" t="s">
        <v>93</v>
      </c>
      <c r="D96" s="54" t="s">
        <v>413</v>
      </c>
      <c r="E96" s="60">
        <f>E97</f>
        <v>130.1</v>
      </c>
      <c r="F96" s="60">
        <f aca="true" t="shared" si="39" ref="F96:F98">F97</f>
        <v>130.1</v>
      </c>
    </row>
    <row r="97" spans="1:6" ht="31.5">
      <c r="A97" s="53" t="s">
        <v>87</v>
      </c>
      <c r="B97" s="53" t="s">
        <v>420</v>
      </c>
      <c r="C97" s="53" t="s">
        <v>93</v>
      </c>
      <c r="D97" s="54" t="s">
        <v>421</v>
      </c>
      <c r="E97" s="60">
        <f>E98</f>
        <v>130.1</v>
      </c>
      <c r="F97" s="60">
        <f t="shared" si="39"/>
        <v>130.1</v>
      </c>
    </row>
    <row r="98" spans="1:6" ht="12.75">
      <c r="A98" s="61" t="s">
        <v>87</v>
      </c>
      <c r="B98" s="63" t="s">
        <v>488</v>
      </c>
      <c r="C98" s="133"/>
      <c r="D98" s="48" t="s">
        <v>489</v>
      </c>
      <c r="E98" s="60">
        <f>E99</f>
        <v>130.1</v>
      </c>
      <c r="F98" s="60">
        <f t="shared" si="39"/>
        <v>130.1</v>
      </c>
    </row>
    <row r="99" spans="1:6" ht="12.75">
      <c r="A99" s="61" t="s">
        <v>87</v>
      </c>
      <c r="B99" s="63" t="s">
        <v>488</v>
      </c>
      <c r="C99" s="133" t="s">
        <v>97</v>
      </c>
      <c r="D99" s="48" t="s">
        <v>98</v>
      </c>
      <c r="E99" s="60">
        <f>'№6'!F70</f>
        <v>130.1</v>
      </c>
      <c r="F99" s="60">
        <f>'№6'!G70</f>
        <v>130.1</v>
      </c>
    </row>
    <row r="100" spans="1:6" ht="31.5">
      <c r="A100" s="55" t="s">
        <v>82</v>
      </c>
      <c r="B100" s="55" t="s">
        <v>93</v>
      </c>
      <c r="C100" s="55" t="s">
        <v>93</v>
      </c>
      <c r="D100" s="44" t="s">
        <v>47</v>
      </c>
      <c r="E100" s="57">
        <f>E101+E109</f>
        <v>8176.3</v>
      </c>
      <c r="F100" s="57">
        <f aca="true" t="shared" si="40" ref="F100">F101+F109</f>
        <v>8176.3</v>
      </c>
    </row>
    <row r="101" spans="1:6" ht="12.75">
      <c r="A101" s="53" t="s">
        <v>102</v>
      </c>
      <c r="B101" s="53" t="s">
        <v>93</v>
      </c>
      <c r="C101" s="53" t="s">
        <v>93</v>
      </c>
      <c r="D101" s="54" t="s">
        <v>103</v>
      </c>
      <c r="E101" s="60">
        <f>E102</f>
        <v>1540.2</v>
      </c>
      <c r="F101" s="60">
        <f aca="true" t="shared" si="41" ref="F101:F102">F102</f>
        <v>1540.2</v>
      </c>
    </row>
    <row r="102" spans="1:6" ht="47.25">
      <c r="A102" s="53" t="s">
        <v>102</v>
      </c>
      <c r="B102" s="53" t="s">
        <v>199</v>
      </c>
      <c r="C102" s="53" t="s">
        <v>93</v>
      </c>
      <c r="D102" s="54" t="s">
        <v>326</v>
      </c>
      <c r="E102" s="60">
        <f>E103</f>
        <v>1540.2</v>
      </c>
      <c r="F102" s="60">
        <f t="shared" si="41"/>
        <v>1540.2</v>
      </c>
    </row>
    <row r="103" spans="1:6" ht="12.75">
      <c r="A103" s="53" t="s">
        <v>102</v>
      </c>
      <c r="B103" s="53" t="s">
        <v>200</v>
      </c>
      <c r="C103" s="53" t="s">
        <v>93</v>
      </c>
      <c r="D103" s="54" t="s">
        <v>2</v>
      </c>
      <c r="E103" s="60">
        <f>E104+E106</f>
        <v>1540.2</v>
      </c>
      <c r="F103" s="60">
        <f aca="true" t="shared" si="42" ref="F103">F104+F106</f>
        <v>1540.2</v>
      </c>
    </row>
    <row r="104" spans="1:6" ht="47.25">
      <c r="A104" s="53" t="s">
        <v>102</v>
      </c>
      <c r="B104" s="53" t="s">
        <v>203</v>
      </c>
      <c r="C104" s="53" t="s">
        <v>93</v>
      </c>
      <c r="D104" s="54" t="s">
        <v>331</v>
      </c>
      <c r="E104" s="60">
        <f>E105</f>
        <v>146.7</v>
      </c>
      <c r="F104" s="60">
        <f aca="true" t="shared" si="43" ref="F104">F105</f>
        <v>146.7</v>
      </c>
    </row>
    <row r="105" spans="1:6" ht="63">
      <c r="A105" s="53" t="s">
        <v>102</v>
      </c>
      <c r="B105" s="53" t="s">
        <v>203</v>
      </c>
      <c r="C105" s="53" t="s">
        <v>95</v>
      </c>
      <c r="D105" s="54" t="s">
        <v>3</v>
      </c>
      <c r="E105" s="60">
        <f>'№6'!F77</f>
        <v>146.7</v>
      </c>
      <c r="F105" s="60">
        <f>'№6'!G77</f>
        <v>146.7</v>
      </c>
    </row>
    <row r="106" spans="1:6" ht="31.5">
      <c r="A106" s="53" t="s">
        <v>102</v>
      </c>
      <c r="B106" s="53" t="s">
        <v>215</v>
      </c>
      <c r="C106" s="53" t="s">
        <v>93</v>
      </c>
      <c r="D106" s="54" t="s">
        <v>346</v>
      </c>
      <c r="E106" s="60">
        <f>E107+E108</f>
        <v>1393.5</v>
      </c>
      <c r="F106" s="60">
        <f aca="true" t="shared" si="44" ref="F106">F107+F108</f>
        <v>1393.5</v>
      </c>
    </row>
    <row r="107" spans="1:6" ht="63">
      <c r="A107" s="53" t="s">
        <v>102</v>
      </c>
      <c r="B107" s="53" t="s">
        <v>215</v>
      </c>
      <c r="C107" s="53" t="s">
        <v>95</v>
      </c>
      <c r="D107" s="54" t="s">
        <v>3</v>
      </c>
      <c r="E107" s="60">
        <f>'№6'!F79</f>
        <v>1227.9</v>
      </c>
      <c r="F107" s="60">
        <f>'№6'!G79</f>
        <v>1227.9</v>
      </c>
    </row>
    <row r="108" spans="1:6" ht="31.5">
      <c r="A108" s="53" t="s">
        <v>102</v>
      </c>
      <c r="B108" s="53" t="s">
        <v>215</v>
      </c>
      <c r="C108" s="53" t="s">
        <v>96</v>
      </c>
      <c r="D108" s="54" t="s">
        <v>329</v>
      </c>
      <c r="E108" s="60">
        <f>'№6'!F80</f>
        <v>165.6</v>
      </c>
      <c r="F108" s="60">
        <f>'№6'!G80</f>
        <v>165.6</v>
      </c>
    </row>
    <row r="109" spans="1:6" ht="31.5">
      <c r="A109" s="53" t="s">
        <v>73</v>
      </c>
      <c r="B109" s="53"/>
      <c r="C109" s="53"/>
      <c r="D109" s="54" t="s">
        <v>20</v>
      </c>
      <c r="E109" s="60">
        <f>E110+E114</f>
        <v>6636.1</v>
      </c>
      <c r="F109" s="60">
        <f aca="true" t="shared" si="45" ref="F109">F110+F114</f>
        <v>6636.1</v>
      </c>
    </row>
    <row r="110" spans="1:6" ht="47.25">
      <c r="A110" s="53" t="s">
        <v>73</v>
      </c>
      <c r="B110" s="53" t="s">
        <v>199</v>
      </c>
      <c r="C110" s="53"/>
      <c r="D110" s="54" t="s">
        <v>191</v>
      </c>
      <c r="E110" s="60">
        <f>E111</f>
        <v>6537.3</v>
      </c>
      <c r="F110" s="60">
        <f aca="true" t="shared" si="46" ref="F110:F112">F111</f>
        <v>6537.3</v>
      </c>
    </row>
    <row r="111" spans="1:6" ht="31.5">
      <c r="A111" s="53" t="s">
        <v>73</v>
      </c>
      <c r="B111" s="53" t="s">
        <v>216</v>
      </c>
      <c r="C111" s="53"/>
      <c r="D111" s="54" t="s">
        <v>161</v>
      </c>
      <c r="E111" s="60">
        <f>E112</f>
        <v>6537.3</v>
      </c>
      <c r="F111" s="60">
        <f t="shared" si="46"/>
        <v>6537.3</v>
      </c>
    </row>
    <row r="112" spans="1:6" ht="31.5">
      <c r="A112" s="53" t="s">
        <v>73</v>
      </c>
      <c r="B112" s="53" t="s">
        <v>217</v>
      </c>
      <c r="C112" s="53"/>
      <c r="D112" s="54" t="s">
        <v>162</v>
      </c>
      <c r="E112" s="60">
        <f>E113</f>
        <v>6537.3</v>
      </c>
      <c r="F112" s="60">
        <f t="shared" si="46"/>
        <v>6537.3</v>
      </c>
    </row>
    <row r="113" spans="1:6" ht="31.5">
      <c r="A113" s="53" t="s">
        <v>73</v>
      </c>
      <c r="B113" s="53" t="s">
        <v>217</v>
      </c>
      <c r="C113" s="53">
        <v>600</v>
      </c>
      <c r="D113" s="54" t="s">
        <v>117</v>
      </c>
      <c r="E113" s="60">
        <f>'№6'!F86</f>
        <v>6537.3</v>
      </c>
      <c r="F113" s="60">
        <f>'№6'!G86</f>
        <v>6537.3</v>
      </c>
    </row>
    <row r="114" spans="1:6" ht="12.75">
      <c r="A114" s="53" t="s">
        <v>73</v>
      </c>
      <c r="B114" s="53" t="s">
        <v>308</v>
      </c>
      <c r="C114" s="53" t="s">
        <v>93</v>
      </c>
      <c r="D114" s="54" t="s">
        <v>413</v>
      </c>
      <c r="E114" s="60">
        <f>E115</f>
        <v>98.8</v>
      </c>
      <c r="F114" s="60">
        <f aca="true" t="shared" si="47" ref="F114:F116">F115</f>
        <v>98.8</v>
      </c>
    </row>
    <row r="115" spans="1:6" ht="12.75">
      <c r="A115" s="53" t="s">
        <v>73</v>
      </c>
      <c r="B115" s="53" t="s">
        <v>414</v>
      </c>
      <c r="C115" s="53" t="s">
        <v>93</v>
      </c>
      <c r="D115" s="54" t="s">
        <v>13</v>
      </c>
      <c r="E115" s="60">
        <f>E116</f>
        <v>98.8</v>
      </c>
      <c r="F115" s="60">
        <f t="shared" si="47"/>
        <v>98.8</v>
      </c>
    </row>
    <row r="116" spans="1:6" ht="31.5">
      <c r="A116" s="53" t="s">
        <v>73</v>
      </c>
      <c r="B116" s="53" t="s">
        <v>258</v>
      </c>
      <c r="C116" s="53" t="s">
        <v>93</v>
      </c>
      <c r="D116" s="54" t="s">
        <v>131</v>
      </c>
      <c r="E116" s="60">
        <f>E117</f>
        <v>98.8</v>
      </c>
      <c r="F116" s="60">
        <f t="shared" si="47"/>
        <v>98.8</v>
      </c>
    </row>
    <row r="117" spans="1:6" ht="31.5">
      <c r="A117" s="53" t="s">
        <v>73</v>
      </c>
      <c r="B117" s="53" t="s">
        <v>258</v>
      </c>
      <c r="C117" s="53">
        <v>600</v>
      </c>
      <c r="D117" s="54" t="s">
        <v>117</v>
      </c>
      <c r="E117" s="60">
        <f>'№6'!F90</f>
        <v>98.8</v>
      </c>
      <c r="F117" s="60">
        <f>'№6'!G90</f>
        <v>98.8</v>
      </c>
    </row>
    <row r="118" spans="1:6" ht="12.75">
      <c r="A118" s="55" t="s">
        <v>83</v>
      </c>
      <c r="B118" s="55" t="s">
        <v>93</v>
      </c>
      <c r="C118" s="55" t="s">
        <v>93</v>
      </c>
      <c r="D118" s="44" t="s">
        <v>48</v>
      </c>
      <c r="E118" s="57">
        <f>E124+E129+E159+E119</f>
        <v>114715.40000000002</v>
      </c>
      <c r="F118" s="57">
        <f>F124+F129+F159+F119</f>
        <v>98725.50000000001</v>
      </c>
    </row>
    <row r="119" spans="1:6" ht="15.6" customHeight="1">
      <c r="A119" s="67" t="s">
        <v>530</v>
      </c>
      <c r="B119" s="58"/>
      <c r="C119" s="58"/>
      <c r="D119" s="159" t="s">
        <v>531</v>
      </c>
      <c r="E119" s="60">
        <f>E120</f>
        <v>256.6</v>
      </c>
      <c r="F119" s="60">
        <f aca="true" t="shared" si="48" ref="F119:F122">F120</f>
        <v>256.6</v>
      </c>
    </row>
    <row r="120" spans="1:6" ht="31.5">
      <c r="A120" s="67" t="s">
        <v>530</v>
      </c>
      <c r="B120" s="53" t="s">
        <v>278</v>
      </c>
      <c r="C120" s="53" t="s">
        <v>93</v>
      </c>
      <c r="D120" s="54" t="s">
        <v>383</v>
      </c>
      <c r="E120" s="60">
        <f>E121</f>
        <v>256.6</v>
      </c>
      <c r="F120" s="60">
        <f t="shared" si="48"/>
        <v>256.6</v>
      </c>
    </row>
    <row r="121" spans="1:6" ht="47.25">
      <c r="A121" s="67" t="s">
        <v>530</v>
      </c>
      <c r="B121" s="53" t="s">
        <v>280</v>
      </c>
      <c r="C121" s="53" t="s">
        <v>93</v>
      </c>
      <c r="D121" s="54" t="s">
        <v>452</v>
      </c>
      <c r="E121" s="60">
        <f>E122</f>
        <v>256.6</v>
      </c>
      <c r="F121" s="60">
        <f t="shared" si="48"/>
        <v>256.6</v>
      </c>
    </row>
    <row r="122" spans="1:6" ht="31.5">
      <c r="A122" s="67" t="s">
        <v>530</v>
      </c>
      <c r="B122" s="53" t="s">
        <v>284</v>
      </c>
      <c r="C122" s="53" t="s">
        <v>93</v>
      </c>
      <c r="D122" s="54" t="s">
        <v>455</v>
      </c>
      <c r="E122" s="60">
        <f>E123</f>
        <v>256.6</v>
      </c>
      <c r="F122" s="60">
        <f t="shared" si="48"/>
        <v>256.6</v>
      </c>
    </row>
    <row r="123" spans="1:6" ht="31.5">
      <c r="A123" s="67" t="s">
        <v>530</v>
      </c>
      <c r="B123" s="53" t="s">
        <v>284</v>
      </c>
      <c r="C123" s="53" t="s">
        <v>397</v>
      </c>
      <c r="D123" s="54" t="s">
        <v>398</v>
      </c>
      <c r="E123" s="60">
        <f>'№6'!F372</f>
        <v>256.6</v>
      </c>
      <c r="F123" s="60">
        <f>'№6'!G372</f>
        <v>256.6</v>
      </c>
    </row>
    <row r="124" spans="1:6" ht="12.75">
      <c r="A124" s="53" t="s">
        <v>175</v>
      </c>
      <c r="B124" s="53" t="s">
        <v>93</v>
      </c>
      <c r="C124" s="53" t="s">
        <v>93</v>
      </c>
      <c r="D124" s="54" t="s">
        <v>176</v>
      </c>
      <c r="E124" s="60">
        <f>E125</f>
        <v>395.8</v>
      </c>
      <c r="F124" s="60">
        <f aca="true" t="shared" si="49" ref="F124:F127">F125</f>
        <v>395.8</v>
      </c>
    </row>
    <row r="125" spans="1:6" ht="47.25">
      <c r="A125" s="53" t="s">
        <v>175</v>
      </c>
      <c r="B125" s="53" t="s">
        <v>218</v>
      </c>
      <c r="C125" s="53" t="s">
        <v>93</v>
      </c>
      <c r="D125" s="54" t="s">
        <v>347</v>
      </c>
      <c r="E125" s="60">
        <f>E126</f>
        <v>395.8</v>
      </c>
      <c r="F125" s="60">
        <f t="shared" si="49"/>
        <v>395.8</v>
      </c>
    </row>
    <row r="126" spans="1:6" ht="31.5">
      <c r="A126" s="53" t="s">
        <v>175</v>
      </c>
      <c r="B126" s="53" t="s">
        <v>219</v>
      </c>
      <c r="C126" s="53" t="s">
        <v>93</v>
      </c>
      <c r="D126" s="54" t="s">
        <v>170</v>
      </c>
      <c r="E126" s="60">
        <f>E127</f>
        <v>395.8</v>
      </c>
      <c r="F126" s="60">
        <f t="shared" si="49"/>
        <v>395.8</v>
      </c>
    </row>
    <row r="127" spans="1:6" ht="80.25" customHeight="1">
      <c r="A127" s="53" t="s">
        <v>175</v>
      </c>
      <c r="B127" s="53" t="s">
        <v>220</v>
      </c>
      <c r="C127" s="53" t="s">
        <v>93</v>
      </c>
      <c r="D127" s="54" t="s">
        <v>177</v>
      </c>
      <c r="E127" s="60">
        <f>E128</f>
        <v>395.8</v>
      </c>
      <c r="F127" s="60">
        <f t="shared" si="49"/>
        <v>395.8</v>
      </c>
    </row>
    <row r="128" spans="1:6" ht="31.5">
      <c r="A128" s="53" t="s">
        <v>175</v>
      </c>
      <c r="B128" s="53" t="s">
        <v>220</v>
      </c>
      <c r="C128" s="53" t="s">
        <v>96</v>
      </c>
      <c r="D128" s="54" t="s">
        <v>329</v>
      </c>
      <c r="E128" s="60">
        <f>'№6'!F97</f>
        <v>395.8</v>
      </c>
      <c r="F128" s="60">
        <f>'№6'!G97</f>
        <v>395.8</v>
      </c>
    </row>
    <row r="129" spans="1:6" ht="12.75">
      <c r="A129" s="53" t="s">
        <v>10</v>
      </c>
      <c r="B129" s="53" t="s">
        <v>93</v>
      </c>
      <c r="C129" s="53" t="s">
        <v>93</v>
      </c>
      <c r="D129" s="54" t="s">
        <v>318</v>
      </c>
      <c r="E129" s="60">
        <f>E130</f>
        <v>112527.80000000002</v>
      </c>
      <c r="F129" s="60">
        <f aca="true" t="shared" si="50" ref="F129">F130</f>
        <v>96568.70000000001</v>
      </c>
    </row>
    <row r="130" spans="1:6" ht="47.25">
      <c r="A130" s="53" t="s">
        <v>10</v>
      </c>
      <c r="B130" s="53" t="s">
        <v>221</v>
      </c>
      <c r="C130" s="53" t="s">
        <v>93</v>
      </c>
      <c r="D130" s="54" t="s">
        <v>350</v>
      </c>
      <c r="E130" s="60">
        <f>E131+E152</f>
        <v>112527.80000000002</v>
      </c>
      <c r="F130" s="60">
        <f>F131+F152</f>
        <v>96568.70000000001</v>
      </c>
    </row>
    <row r="131" spans="1:6" ht="38.25" customHeight="1">
      <c r="A131" s="53" t="s">
        <v>10</v>
      </c>
      <c r="B131" s="53" t="s">
        <v>222</v>
      </c>
      <c r="C131" s="53" t="s">
        <v>93</v>
      </c>
      <c r="D131" s="54" t="s">
        <v>492</v>
      </c>
      <c r="E131" s="60">
        <f>E132+E136+E138+E148+E140+E144+E146+E150+E134+E142</f>
        <v>108599.80000000002</v>
      </c>
      <c r="F131" s="60">
        <f aca="true" t="shared" si="51" ref="F131">F132+F136+F138+F148+F140+F144+F146+F150+F134+F142</f>
        <v>92640.70000000001</v>
      </c>
    </row>
    <row r="132" spans="1:6" ht="47.25">
      <c r="A132" s="53" t="s">
        <v>10</v>
      </c>
      <c r="B132" s="53" t="s">
        <v>223</v>
      </c>
      <c r="C132" s="53" t="s">
        <v>93</v>
      </c>
      <c r="D132" s="54" t="s">
        <v>353</v>
      </c>
      <c r="E132" s="60">
        <f>E133</f>
        <v>25181.300000000003</v>
      </c>
      <c r="F132" s="60">
        <f aca="true" t="shared" si="52" ref="F132">F133</f>
        <v>25181.3</v>
      </c>
    </row>
    <row r="133" spans="1:6" ht="31.5">
      <c r="A133" s="53" t="s">
        <v>10</v>
      </c>
      <c r="B133" s="53" t="s">
        <v>223</v>
      </c>
      <c r="C133" s="53" t="s">
        <v>96</v>
      </c>
      <c r="D133" s="54" t="s">
        <v>329</v>
      </c>
      <c r="E133" s="60">
        <f>'№6'!F103</f>
        <v>25181.300000000003</v>
      </c>
      <c r="F133" s="60">
        <f>'№6'!G103</f>
        <v>25181.3</v>
      </c>
    </row>
    <row r="134" spans="1:6" ht="47.25">
      <c r="A134" s="53" t="s">
        <v>10</v>
      </c>
      <c r="B134" s="53" t="s">
        <v>571</v>
      </c>
      <c r="C134" s="53" t="s">
        <v>93</v>
      </c>
      <c r="D134" s="54" t="s">
        <v>573</v>
      </c>
      <c r="E134" s="60">
        <f>E135</f>
        <v>21150.1</v>
      </c>
      <c r="F134" s="60">
        <f aca="true" t="shared" si="53" ref="F134">F135</f>
        <v>14398.2</v>
      </c>
    </row>
    <row r="135" spans="1:6" ht="31.5">
      <c r="A135" s="53" t="s">
        <v>10</v>
      </c>
      <c r="B135" s="53" t="s">
        <v>571</v>
      </c>
      <c r="C135" s="53" t="s">
        <v>96</v>
      </c>
      <c r="D135" s="54" t="s">
        <v>329</v>
      </c>
      <c r="E135" s="60">
        <f>'№6'!F106</f>
        <v>21150.1</v>
      </c>
      <c r="F135" s="60">
        <f>'№6'!G106</f>
        <v>14398.2</v>
      </c>
    </row>
    <row r="136" spans="1:6" ht="47.25">
      <c r="A136" s="53" t="s">
        <v>10</v>
      </c>
      <c r="B136" s="53" t="s">
        <v>224</v>
      </c>
      <c r="C136" s="53" t="s">
        <v>93</v>
      </c>
      <c r="D136" s="54" t="s">
        <v>196</v>
      </c>
      <c r="E136" s="60">
        <f>E137</f>
        <v>6380</v>
      </c>
      <c r="F136" s="60">
        <f aca="true" t="shared" si="54" ref="F136">F137</f>
        <v>6380</v>
      </c>
    </row>
    <row r="137" spans="1:6" ht="31.5">
      <c r="A137" s="53" t="s">
        <v>10</v>
      </c>
      <c r="B137" s="53" t="s">
        <v>224</v>
      </c>
      <c r="C137" s="53" t="s">
        <v>96</v>
      </c>
      <c r="D137" s="54" t="s">
        <v>329</v>
      </c>
      <c r="E137" s="60">
        <f>'№6'!F108</f>
        <v>6380</v>
      </c>
      <c r="F137" s="60">
        <f>'№6'!G108</f>
        <v>6380</v>
      </c>
    </row>
    <row r="138" spans="1:6" ht="31.5">
      <c r="A138" s="53" t="s">
        <v>10</v>
      </c>
      <c r="B138" s="53" t="s">
        <v>225</v>
      </c>
      <c r="C138" s="53" t="s">
        <v>93</v>
      </c>
      <c r="D138" s="54" t="s">
        <v>356</v>
      </c>
      <c r="E138" s="60">
        <f>E139</f>
        <v>1018.5</v>
      </c>
      <c r="F138" s="60">
        <f aca="true" t="shared" si="55" ref="F138">F139</f>
        <v>1018.5</v>
      </c>
    </row>
    <row r="139" spans="1:6" ht="31.5">
      <c r="A139" s="53" t="s">
        <v>10</v>
      </c>
      <c r="B139" s="53" t="s">
        <v>225</v>
      </c>
      <c r="C139" s="53" t="s">
        <v>96</v>
      </c>
      <c r="D139" s="54" t="s">
        <v>329</v>
      </c>
      <c r="E139" s="60">
        <f>'№6'!F110</f>
        <v>1018.5</v>
      </c>
      <c r="F139" s="60">
        <f>'№6'!G110</f>
        <v>1018.5</v>
      </c>
    </row>
    <row r="140" spans="1:6" ht="47.25">
      <c r="A140" s="53" t="s">
        <v>10</v>
      </c>
      <c r="B140" s="53" t="s">
        <v>499</v>
      </c>
      <c r="C140" s="53" t="s">
        <v>93</v>
      </c>
      <c r="D140" s="54" t="s">
        <v>498</v>
      </c>
      <c r="E140" s="60">
        <f>E141</f>
        <v>6092.3</v>
      </c>
      <c r="F140" s="60">
        <f aca="true" t="shared" si="56" ref="F140">F141</f>
        <v>4180.2</v>
      </c>
    </row>
    <row r="141" spans="1:6" ht="31.5">
      <c r="A141" s="53" t="s">
        <v>10</v>
      </c>
      <c r="B141" s="53" t="s">
        <v>499</v>
      </c>
      <c r="C141" s="53" t="s">
        <v>96</v>
      </c>
      <c r="D141" s="54" t="s">
        <v>329</v>
      </c>
      <c r="E141" s="60">
        <f>'№6'!F112</f>
        <v>6092.3</v>
      </c>
      <c r="F141" s="60">
        <f>'№6'!G112</f>
        <v>4180.2</v>
      </c>
    </row>
    <row r="142" spans="1:6" ht="63">
      <c r="A142" s="53" t="s">
        <v>10</v>
      </c>
      <c r="B142" s="53" t="s">
        <v>570</v>
      </c>
      <c r="C142" s="58"/>
      <c r="D142" s="54" t="s">
        <v>572</v>
      </c>
      <c r="E142" s="60">
        <f>E143</f>
        <v>36095.4</v>
      </c>
      <c r="F142" s="60">
        <f aca="true" t="shared" si="57" ref="F142">F143</f>
        <v>30537.6</v>
      </c>
    </row>
    <row r="143" spans="1:6" ht="31.5">
      <c r="A143" s="53" t="s">
        <v>10</v>
      </c>
      <c r="B143" s="53" t="s">
        <v>570</v>
      </c>
      <c r="C143" s="53" t="s">
        <v>96</v>
      </c>
      <c r="D143" s="54" t="s">
        <v>329</v>
      </c>
      <c r="E143" s="60">
        <f>'№6'!F115</f>
        <v>36095.4</v>
      </c>
      <c r="F143" s="60">
        <f>'№6'!G115</f>
        <v>30537.6</v>
      </c>
    </row>
    <row r="144" spans="1:6" ht="31.5">
      <c r="A144" s="53" t="s">
        <v>10</v>
      </c>
      <c r="B144" s="53" t="s">
        <v>518</v>
      </c>
      <c r="C144" s="58"/>
      <c r="D144" s="54" t="s">
        <v>513</v>
      </c>
      <c r="E144" s="60">
        <f>E145</f>
        <v>800</v>
      </c>
      <c r="F144" s="60">
        <f aca="true" t="shared" si="58" ref="F144">F145</f>
        <v>789.4</v>
      </c>
    </row>
    <row r="145" spans="1:6" ht="31.5">
      <c r="A145" s="53" t="s">
        <v>10</v>
      </c>
      <c r="B145" s="53" t="s">
        <v>518</v>
      </c>
      <c r="C145" s="53" t="s">
        <v>96</v>
      </c>
      <c r="D145" s="54" t="s">
        <v>329</v>
      </c>
      <c r="E145" s="60">
        <f>'№6'!F117</f>
        <v>800</v>
      </c>
      <c r="F145" s="60">
        <f>'№6'!G117</f>
        <v>789.4</v>
      </c>
    </row>
    <row r="146" spans="1:6" ht="31.5">
      <c r="A146" s="53" t="s">
        <v>10</v>
      </c>
      <c r="B146" s="53" t="s">
        <v>517</v>
      </c>
      <c r="C146" s="58"/>
      <c r="D146" s="54" t="s">
        <v>514</v>
      </c>
      <c r="E146" s="60">
        <f>E147</f>
        <v>1172.1</v>
      </c>
      <c r="F146" s="60">
        <f aca="true" t="shared" si="59" ref="F146">F147</f>
        <v>1156.3</v>
      </c>
    </row>
    <row r="147" spans="1:6" ht="31.5">
      <c r="A147" s="53" t="s">
        <v>10</v>
      </c>
      <c r="B147" s="53" t="s">
        <v>517</v>
      </c>
      <c r="C147" s="53" t="s">
        <v>96</v>
      </c>
      <c r="D147" s="54" t="s">
        <v>329</v>
      </c>
      <c r="E147" s="60">
        <f>'№6'!F119</f>
        <v>1172.1</v>
      </c>
      <c r="F147" s="60">
        <f>'№6'!G119</f>
        <v>1156.3</v>
      </c>
    </row>
    <row r="148" spans="1:6" ht="63">
      <c r="A148" s="53" t="s">
        <v>10</v>
      </c>
      <c r="B148" s="53" t="s">
        <v>500</v>
      </c>
      <c r="C148" s="53" t="s">
        <v>93</v>
      </c>
      <c r="D148" s="54" t="s">
        <v>502</v>
      </c>
      <c r="E148" s="60">
        <f>E149</f>
        <v>10632.8</v>
      </c>
      <c r="F148" s="60">
        <f aca="true" t="shared" si="60" ref="F148">F149</f>
        <v>8999.2</v>
      </c>
    </row>
    <row r="149" spans="1:6" ht="31.5">
      <c r="A149" s="53" t="s">
        <v>10</v>
      </c>
      <c r="B149" s="53" t="s">
        <v>500</v>
      </c>
      <c r="C149" s="53" t="s">
        <v>96</v>
      </c>
      <c r="D149" s="54" t="s">
        <v>329</v>
      </c>
      <c r="E149" s="60">
        <f>'№6'!F121</f>
        <v>10632.8</v>
      </c>
      <c r="F149" s="60">
        <f>'№6'!G121</f>
        <v>8999.2</v>
      </c>
    </row>
    <row r="150" spans="1:6" ht="31.5">
      <c r="A150" s="61" t="s">
        <v>10</v>
      </c>
      <c r="B150" s="14" t="s">
        <v>534</v>
      </c>
      <c r="C150" s="133"/>
      <c r="D150" s="48" t="s">
        <v>535</v>
      </c>
      <c r="E150" s="60">
        <f>E151</f>
        <v>77.3</v>
      </c>
      <c r="F150" s="60">
        <f aca="true" t="shared" si="61" ref="F150">F151</f>
        <v>0</v>
      </c>
    </row>
    <row r="151" spans="1:6" ht="31.5">
      <c r="A151" s="61" t="s">
        <v>10</v>
      </c>
      <c r="B151" s="14" t="s">
        <v>534</v>
      </c>
      <c r="C151" s="133" t="s">
        <v>96</v>
      </c>
      <c r="D151" s="48" t="s">
        <v>536</v>
      </c>
      <c r="E151" s="60">
        <f>'№6'!F124</f>
        <v>77.3</v>
      </c>
      <c r="F151" s="60">
        <f>'№6'!G124</f>
        <v>0</v>
      </c>
    </row>
    <row r="152" spans="1:6" ht="31.5">
      <c r="A152" s="53" t="s">
        <v>10</v>
      </c>
      <c r="B152" s="53" t="s">
        <v>226</v>
      </c>
      <c r="C152" s="53" t="s">
        <v>93</v>
      </c>
      <c r="D152" s="54" t="s">
        <v>358</v>
      </c>
      <c r="E152" s="60">
        <f>E153+E157+E155</f>
        <v>3928</v>
      </c>
      <c r="F152" s="60">
        <f aca="true" t="shared" si="62" ref="F152">F153+F157+F155</f>
        <v>3928</v>
      </c>
    </row>
    <row r="153" spans="1:6" ht="31.5">
      <c r="A153" s="53" t="s">
        <v>10</v>
      </c>
      <c r="B153" s="53" t="s">
        <v>227</v>
      </c>
      <c r="C153" s="53" t="s">
        <v>93</v>
      </c>
      <c r="D153" s="54" t="s">
        <v>361</v>
      </c>
      <c r="E153" s="60">
        <f>E154</f>
        <v>3500</v>
      </c>
      <c r="F153" s="60">
        <f aca="true" t="shared" si="63" ref="F153">F154</f>
        <v>3500</v>
      </c>
    </row>
    <row r="154" spans="1:6" ht="31.5">
      <c r="A154" s="53" t="s">
        <v>10</v>
      </c>
      <c r="B154" s="53" t="s">
        <v>227</v>
      </c>
      <c r="C154" s="53" t="s">
        <v>96</v>
      </c>
      <c r="D154" s="54" t="s">
        <v>329</v>
      </c>
      <c r="E154" s="60">
        <f>'№6'!F128</f>
        <v>3500</v>
      </c>
      <c r="F154" s="60">
        <f>'№6'!G128</f>
        <v>3500</v>
      </c>
    </row>
    <row r="155" spans="1:6" ht="31.5">
      <c r="A155" s="53" t="s">
        <v>10</v>
      </c>
      <c r="B155" s="14" t="s">
        <v>593</v>
      </c>
      <c r="C155" s="15"/>
      <c r="D155" s="48" t="s">
        <v>594</v>
      </c>
      <c r="E155" s="60">
        <f>E156</f>
        <v>250.7</v>
      </c>
      <c r="F155" s="60">
        <f aca="true" t="shared" si="64" ref="F155">F156</f>
        <v>250.7</v>
      </c>
    </row>
    <row r="156" spans="1:6" ht="31.5">
      <c r="A156" s="53" t="s">
        <v>10</v>
      </c>
      <c r="B156" s="53" t="s">
        <v>593</v>
      </c>
      <c r="C156" s="53" t="s">
        <v>96</v>
      </c>
      <c r="D156" s="54" t="s">
        <v>329</v>
      </c>
      <c r="E156" s="60">
        <f>'№6'!F130</f>
        <v>250.7</v>
      </c>
      <c r="F156" s="60">
        <f>'№6'!G130</f>
        <v>250.7</v>
      </c>
    </row>
    <row r="157" spans="1:6" ht="31.5">
      <c r="A157" s="53" t="s">
        <v>10</v>
      </c>
      <c r="B157" s="53" t="s">
        <v>589</v>
      </c>
      <c r="C157" s="53" t="s">
        <v>93</v>
      </c>
      <c r="D157" s="54" t="s">
        <v>590</v>
      </c>
      <c r="E157" s="60">
        <f>E158</f>
        <v>177.3</v>
      </c>
      <c r="F157" s="60">
        <f aca="true" t="shared" si="65" ref="F157">F158</f>
        <v>177.3</v>
      </c>
    </row>
    <row r="158" spans="1:6" ht="31.5">
      <c r="A158" s="53" t="s">
        <v>10</v>
      </c>
      <c r="B158" s="53" t="s">
        <v>589</v>
      </c>
      <c r="C158" s="53" t="s">
        <v>96</v>
      </c>
      <c r="D158" s="54" t="s">
        <v>329</v>
      </c>
      <c r="E158" s="60">
        <f>'№6'!F132</f>
        <v>177.3</v>
      </c>
      <c r="F158" s="60">
        <f>'№6'!G132</f>
        <v>177.3</v>
      </c>
    </row>
    <row r="159" spans="1:6" ht="12.75">
      <c r="A159" s="53" t="s">
        <v>74</v>
      </c>
      <c r="B159" s="53" t="s">
        <v>93</v>
      </c>
      <c r="C159" s="53" t="s">
        <v>93</v>
      </c>
      <c r="D159" s="54" t="s">
        <v>49</v>
      </c>
      <c r="E159" s="60">
        <f>E160+E173</f>
        <v>1535.1999999999998</v>
      </c>
      <c r="F159" s="60">
        <f aca="true" t="shared" si="66" ref="F159">F160+F173</f>
        <v>1504.4</v>
      </c>
    </row>
    <row r="160" spans="1:6" ht="47.25">
      <c r="A160" s="53" t="s">
        <v>74</v>
      </c>
      <c r="B160" s="53" t="s">
        <v>228</v>
      </c>
      <c r="C160" s="53" t="s">
        <v>93</v>
      </c>
      <c r="D160" s="54" t="s">
        <v>362</v>
      </c>
      <c r="E160" s="60">
        <f>E161+E168</f>
        <v>575.9</v>
      </c>
      <c r="F160" s="60">
        <f aca="true" t="shared" si="67" ref="F160">F161+F168</f>
        <v>575.9</v>
      </c>
    </row>
    <row r="161" spans="1:6" ht="31.5">
      <c r="A161" s="53" t="s">
        <v>74</v>
      </c>
      <c r="B161" s="53" t="s">
        <v>229</v>
      </c>
      <c r="C161" s="53" t="s">
        <v>93</v>
      </c>
      <c r="D161" s="54" t="s">
        <v>163</v>
      </c>
      <c r="E161" s="60">
        <f>E162+E164+E166</f>
        <v>65.3</v>
      </c>
      <c r="F161" s="60">
        <f aca="true" t="shared" si="68" ref="F161">F162+F164+F166</f>
        <v>65.3</v>
      </c>
    </row>
    <row r="162" spans="1:6" ht="31.5">
      <c r="A162" s="53" t="s">
        <v>74</v>
      </c>
      <c r="B162" s="53" t="s">
        <v>230</v>
      </c>
      <c r="C162" s="53" t="s">
        <v>93</v>
      </c>
      <c r="D162" s="54" t="s">
        <v>164</v>
      </c>
      <c r="E162" s="60">
        <f>E163</f>
        <v>26</v>
      </c>
      <c r="F162" s="60">
        <f aca="true" t="shared" si="69" ref="F162">F163</f>
        <v>26</v>
      </c>
    </row>
    <row r="163" spans="1:6" ht="31.5">
      <c r="A163" s="53" t="s">
        <v>74</v>
      </c>
      <c r="B163" s="53" t="s">
        <v>230</v>
      </c>
      <c r="C163" s="53" t="s">
        <v>96</v>
      </c>
      <c r="D163" s="54" t="s">
        <v>329</v>
      </c>
      <c r="E163" s="60">
        <f>'№6'!F138</f>
        <v>26</v>
      </c>
      <c r="F163" s="60">
        <f>'№6'!G138</f>
        <v>26</v>
      </c>
    </row>
    <row r="164" spans="1:6" ht="37.5" customHeight="1">
      <c r="A164" s="53" t="s">
        <v>74</v>
      </c>
      <c r="B164" s="53" t="s">
        <v>365</v>
      </c>
      <c r="C164" s="53" t="s">
        <v>93</v>
      </c>
      <c r="D164" s="54" t="s">
        <v>480</v>
      </c>
      <c r="E164" s="60">
        <f>E165</f>
        <v>34</v>
      </c>
      <c r="F164" s="60">
        <f aca="true" t="shared" si="70" ref="F164">F165</f>
        <v>34</v>
      </c>
    </row>
    <row r="165" spans="1:6" ht="31.5">
      <c r="A165" s="53" t="s">
        <v>74</v>
      </c>
      <c r="B165" s="53" t="s">
        <v>365</v>
      </c>
      <c r="C165" s="53" t="s">
        <v>96</v>
      </c>
      <c r="D165" s="54" t="s">
        <v>329</v>
      </c>
      <c r="E165" s="60">
        <f>'№6'!F140</f>
        <v>34</v>
      </c>
      <c r="F165" s="60">
        <f>'№6'!G140</f>
        <v>34</v>
      </c>
    </row>
    <row r="166" spans="1:6" ht="78" customHeight="1">
      <c r="A166" s="53" t="s">
        <v>74</v>
      </c>
      <c r="B166" s="53" t="s">
        <v>231</v>
      </c>
      <c r="C166" s="53" t="s">
        <v>93</v>
      </c>
      <c r="D166" s="54" t="s">
        <v>368</v>
      </c>
      <c r="E166" s="60">
        <f>E167</f>
        <v>5.3</v>
      </c>
      <c r="F166" s="60">
        <f aca="true" t="shared" si="71" ref="F166">F167</f>
        <v>5.3</v>
      </c>
    </row>
    <row r="167" spans="1:6" ht="31.5">
      <c r="A167" s="53" t="s">
        <v>74</v>
      </c>
      <c r="B167" s="53" t="s">
        <v>231</v>
      </c>
      <c r="C167" s="53" t="s">
        <v>96</v>
      </c>
      <c r="D167" s="54" t="s">
        <v>329</v>
      </c>
      <c r="E167" s="60">
        <f>'№6'!F143</f>
        <v>5.3</v>
      </c>
      <c r="F167" s="60">
        <f>'№6'!G143</f>
        <v>5.3</v>
      </c>
    </row>
    <row r="168" spans="1:6" ht="31.5">
      <c r="A168" s="53" t="s">
        <v>74</v>
      </c>
      <c r="B168" s="53" t="s">
        <v>232</v>
      </c>
      <c r="C168" s="53" t="s">
        <v>93</v>
      </c>
      <c r="D168" s="54" t="s">
        <v>165</v>
      </c>
      <c r="E168" s="60">
        <f>E169+E171</f>
        <v>510.59999999999997</v>
      </c>
      <c r="F168" s="60">
        <f aca="true" t="shared" si="72" ref="F168">F169+F171</f>
        <v>510.6</v>
      </c>
    </row>
    <row r="169" spans="1:6" ht="31.5">
      <c r="A169" s="53" t="s">
        <v>74</v>
      </c>
      <c r="B169" s="53" t="s">
        <v>233</v>
      </c>
      <c r="C169" s="53" t="s">
        <v>93</v>
      </c>
      <c r="D169" s="54" t="s">
        <v>166</v>
      </c>
      <c r="E169" s="60">
        <f>E170</f>
        <v>379.79999999999995</v>
      </c>
      <c r="F169" s="60">
        <f aca="true" t="shared" si="73" ref="F169">F170</f>
        <v>379.8</v>
      </c>
    </row>
    <row r="170" spans="1:6" ht="31.5">
      <c r="A170" s="53" t="s">
        <v>74</v>
      </c>
      <c r="B170" s="53" t="s">
        <v>233</v>
      </c>
      <c r="C170" s="53" t="s">
        <v>96</v>
      </c>
      <c r="D170" s="54" t="s">
        <v>329</v>
      </c>
      <c r="E170" s="60">
        <f>'№6'!F147</f>
        <v>379.79999999999995</v>
      </c>
      <c r="F170" s="60">
        <f>'№6'!G147</f>
        <v>379.8</v>
      </c>
    </row>
    <row r="171" spans="1:6" ht="31.5">
      <c r="A171" s="53" t="s">
        <v>74</v>
      </c>
      <c r="B171" s="53" t="s">
        <v>234</v>
      </c>
      <c r="C171" s="53" t="s">
        <v>93</v>
      </c>
      <c r="D171" s="54" t="s">
        <v>167</v>
      </c>
      <c r="E171" s="60">
        <f>E172</f>
        <v>130.8</v>
      </c>
      <c r="F171" s="60">
        <f aca="true" t="shared" si="74" ref="F171">F172</f>
        <v>130.8</v>
      </c>
    </row>
    <row r="172" spans="1:6" ht="12.75">
      <c r="A172" s="53" t="s">
        <v>74</v>
      </c>
      <c r="B172" s="53" t="s">
        <v>234</v>
      </c>
      <c r="C172" s="53" t="s">
        <v>97</v>
      </c>
      <c r="D172" s="54" t="s">
        <v>98</v>
      </c>
      <c r="E172" s="60">
        <f>'№6'!F149</f>
        <v>130.8</v>
      </c>
      <c r="F172" s="60">
        <f>'№6'!G149</f>
        <v>130.8</v>
      </c>
    </row>
    <row r="173" spans="1:6" ht="47.25">
      <c r="A173" s="53" t="s">
        <v>74</v>
      </c>
      <c r="B173" s="53" t="s">
        <v>263</v>
      </c>
      <c r="C173" s="53" t="s">
        <v>93</v>
      </c>
      <c r="D173" s="54" t="s">
        <v>433</v>
      </c>
      <c r="E173" s="60">
        <f>E174</f>
        <v>959.3</v>
      </c>
      <c r="F173" s="60">
        <f aca="true" t="shared" si="75" ref="F173:F175">F174</f>
        <v>928.5</v>
      </c>
    </row>
    <row r="174" spans="1:6" ht="35.25" customHeight="1">
      <c r="A174" s="53" t="s">
        <v>74</v>
      </c>
      <c r="B174" s="53" t="s">
        <v>264</v>
      </c>
      <c r="C174" s="53" t="s">
        <v>93</v>
      </c>
      <c r="D174" s="54" t="s">
        <v>146</v>
      </c>
      <c r="E174" s="60">
        <f>E175</f>
        <v>959.3</v>
      </c>
      <c r="F174" s="60">
        <f t="shared" si="75"/>
        <v>928.5</v>
      </c>
    </row>
    <row r="175" spans="1:6" ht="31.5">
      <c r="A175" s="53" t="s">
        <v>74</v>
      </c>
      <c r="B175" s="53" t="s">
        <v>269</v>
      </c>
      <c r="C175" s="53" t="s">
        <v>93</v>
      </c>
      <c r="D175" s="54" t="s">
        <v>148</v>
      </c>
      <c r="E175" s="60">
        <f>E176</f>
        <v>959.3</v>
      </c>
      <c r="F175" s="60">
        <f t="shared" si="75"/>
        <v>928.5</v>
      </c>
    </row>
    <row r="176" spans="1:6" ht="31.5">
      <c r="A176" s="53" t="s">
        <v>74</v>
      </c>
      <c r="B176" s="53" t="s">
        <v>269</v>
      </c>
      <c r="C176" s="53" t="s">
        <v>96</v>
      </c>
      <c r="D176" s="54" t="s">
        <v>329</v>
      </c>
      <c r="E176" s="60">
        <f>'№6'!F342</f>
        <v>959.3</v>
      </c>
      <c r="F176" s="60">
        <f>'№6'!G342</f>
        <v>928.5</v>
      </c>
    </row>
    <row r="177" spans="1:6" ht="12.75">
      <c r="A177" s="55" t="s">
        <v>84</v>
      </c>
      <c r="B177" s="55" t="s">
        <v>93</v>
      </c>
      <c r="C177" s="55" t="s">
        <v>93</v>
      </c>
      <c r="D177" s="44" t="s">
        <v>50</v>
      </c>
      <c r="E177" s="57">
        <f>E178+E183+E190</f>
        <v>27333.200000000004</v>
      </c>
      <c r="F177" s="57">
        <f>F178+F183+F190</f>
        <v>23579.200000000004</v>
      </c>
    </row>
    <row r="178" spans="1:6" ht="12.75">
      <c r="A178" s="53" t="s">
        <v>8</v>
      </c>
      <c r="B178" s="53" t="s">
        <v>93</v>
      </c>
      <c r="C178" s="53" t="s">
        <v>93</v>
      </c>
      <c r="D178" s="54" t="s">
        <v>9</v>
      </c>
      <c r="E178" s="60">
        <f>E179</f>
        <v>1524.6</v>
      </c>
      <c r="F178" s="60">
        <f aca="true" t="shared" si="76" ref="F178:F181">F179</f>
        <v>1524.6</v>
      </c>
    </row>
    <row r="179" spans="1:6" ht="47.25">
      <c r="A179" s="53" t="s">
        <v>8</v>
      </c>
      <c r="B179" s="53" t="s">
        <v>263</v>
      </c>
      <c r="C179" s="53" t="s">
        <v>93</v>
      </c>
      <c r="D179" s="54" t="s">
        <v>433</v>
      </c>
      <c r="E179" s="60">
        <f>E180</f>
        <v>1524.6</v>
      </c>
      <c r="F179" s="60">
        <f t="shared" si="76"/>
        <v>1524.6</v>
      </c>
    </row>
    <row r="180" spans="1:6" ht="33.75" customHeight="1">
      <c r="A180" s="53" t="s">
        <v>8</v>
      </c>
      <c r="B180" s="53" t="s">
        <v>264</v>
      </c>
      <c r="C180" s="53" t="s">
        <v>93</v>
      </c>
      <c r="D180" s="54" t="s">
        <v>146</v>
      </c>
      <c r="E180" s="60">
        <f>E181</f>
        <v>1524.6</v>
      </c>
      <c r="F180" s="60">
        <f t="shared" si="76"/>
        <v>1524.6</v>
      </c>
    </row>
    <row r="181" spans="1:6" ht="47.25">
      <c r="A181" s="53" t="s">
        <v>8</v>
      </c>
      <c r="B181" s="53" t="s">
        <v>270</v>
      </c>
      <c r="C181" s="53" t="s">
        <v>93</v>
      </c>
      <c r="D181" s="54" t="s">
        <v>193</v>
      </c>
      <c r="E181" s="60">
        <f>E182</f>
        <v>1524.6</v>
      </c>
      <c r="F181" s="60">
        <f t="shared" si="76"/>
        <v>1524.6</v>
      </c>
    </row>
    <row r="182" spans="1:6" ht="31.5">
      <c r="A182" s="53" t="s">
        <v>8</v>
      </c>
      <c r="B182" s="53" t="s">
        <v>270</v>
      </c>
      <c r="C182" s="53" t="s">
        <v>96</v>
      </c>
      <c r="D182" s="54" t="s">
        <v>329</v>
      </c>
      <c r="E182" s="60">
        <f>'№6'!F349</f>
        <v>1524.6</v>
      </c>
      <c r="F182" s="60">
        <f>'№6'!G349</f>
        <v>1524.6</v>
      </c>
    </row>
    <row r="183" spans="1:6" ht="12.75">
      <c r="A183" s="53" t="s">
        <v>75</v>
      </c>
      <c r="B183" s="53" t="s">
        <v>93</v>
      </c>
      <c r="C183" s="53" t="s">
        <v>93</v>
      </c>
      <c r="D183" s="54" t="s">
        <v>51</v>
      </c>
      <c r="E183" s="60">
        <f>E184</f>
        <v>3521</v>
      </c>
      <c r="F183" s="60">
        <f aca="true" t="shared" si="77" ref="F183">F184</f>
        <v>228</v>
      </c>
    </row>
    <row r="184" spans="1:6" ht="47.25">
      <c r="A184" s="53" t="s">
        <v>75</v>
      </c>
      <c r="B184" s="53" t="s">
        <v>218</v>
      </c>
      <c r="C184" s="53" t="s">
        <v>93</v>
      </c>
      <c r="D184" s="54" t="s">
        <v>347</v>
      </c>
      <c r="E184" s="60">
        <f>E185</f>
        <v>3521</v>
      </c>
      <c r="F184" s="60">
        <f aca="true" t="shared" si="78" ref="F184">F185</f>
        <v>228</v>
      </c>
    </row>
    <row r="185" spans="1:6" ht="47.25">
      <c r="A185" s="53" t="s">
        <v>75</v>
      </c>
      <c r="B185" s="53" t="s">
        <v>371</v>
      </c>
      <c r="C185" s="53" t="s">
        <v>93</v>
      </c>
      <c r="D185" s="54" t="s">
        <v>372</v>
      </c>
      <c r="E185" s="60">
        <f>E188+E186</f>
        <v>3521</v>
      </c>
      <c r="F185" s="60">
        <f>F188+F186</f>
        <v>228</v>
      </c>
    </row>
    <row r="186" spans="1:6" ht="12.75">
      <c r="A186" s="53" t="s">
        <v>75</v>
      </c>
      <c r="B186" s="53" t="s">
        <v>490</v>
      </c>
      <c r="C186" s="53" t="s">
        <v>93</v>
      </c>
      <c r="D186" s="54" t="s">
        <v>491</v>
      </c>
      <c r="E186" s="60">
        <f>E187</f>
        <v>198</v>
      </c>
      <c r="F186" s="60">
        <f aca="true" t="shared" si="79" ref="F186">F187</f>
        <v>198</v>
      </c>
    </row>
    <row r="187" spans="1:6" ht="31.5">
      <c r="A187" s="53" t="s">
        <v>75</v>
      </c>
      <c r="B187" s="53" t="s">
        <v>490</v>
      </c>
      <c r="C187" s="53" t="s">
        <v>99</v>
      </c>
      <c r="D187" s="54" t="s">
        <v>375</v>
      </c>
      <c r="E187" s="60">
        <f>'№6'!F156</f>
        <v>198</v>
      </c>
      <c r="F187" s="60">
        <f>'№6'!G156</f>
        <v>198</v>
      </c>
    </row>
    <row r="188" spans="1:6" ht="12.75">
      <c r="A188" s="53" t="s">
        <v>75</v>
      </c>
      <c r="B188" s="53" t="s">
        <v>376</v>
      </c>
      <c r="C188" s="53" t="s">
        <v>93</v>
      </c>
      <c r="D188" s="54" t="s">
        <v>377</v>
      </c>
      <c r="E188" s="60">
        <f>E189</f>
        <v>3323</v>
      </c>
      <c r="F188" s="60">
        <f aca="true" t="shared" si="80" ref="F188">F189</f>
        <v>30</v>
      </c>
    </row>
    <row r="189" spans="1:6" ht="31.5">
      <c r="A189" s="53" t="s">
        <v>75</v>
      </c>
      <c r="B189" s="53" t="s">
        <v>376</v>
      </c>
      <c r="C189" s="53" t="s">
        <v>96</v>
      </c>
      <c r="D189" s="54" t="s">
        <v>329</v>
      </c>
      <c r="E189" s="60">
        <f>'№6'!F158</f>
        <v>3323</v>
      </c>
      <c r="F189" s="60">
        <f>'№6'!G158</f>
        <v>30</v>
      </c>
    </row>
    <row r="190" spans="1:6" ht="12.75">
      <c r="A190" s="53" t="s">
        <v>76</v>
      </c>
      <c r="B190" s="53" t="s">
        <v>93</v>
      </c>
      <c r="C190" s="53" t="s">
        <v>93</v>
      </c>
      <c r="D190" s="54" t="s">
        <v>52</v>
      </c>
      <c r="E190" s="60">
        <f>E191+E211</f>
        <v>22287.600000000006</v>
      </c>
      <c r="F190" s="60">
        <f>F191+F211</f>
        <v>21826.600000000006</v>
      </c>
    </row>
    <row r="191" spans="1:6" ht="47.25">
      <c r="A191" s="53" t="s">
        <v>76</v>
      </c>
      <c r="B191" s="53" t="s">
        <v>218</v>
      </c>
      <c r="C191" s="53" t="s">
        <v>93</v>
      </c>
      <c r="D191" s="54" t="s">
        <v>347</v>
      </c>
      <c r="E191" s="60">
        <f>E192</f>
        <v>21287.600000000006</v>
      </c>
      <c r="F191" s="60">
        <f aca="true" t="shared" si="81" ref="F191">F192</f>
        <v>20827.200000000004</v>
      </c>
    </row>
    <row r="192" spans="1:6" ht="31.5">
      <c r="A192" s="53" t="s">
        <v>76</v>
      </c>
      <c r="B192" s="53" t="s">
        <v>219</v>
      </c>
      <c r="C192" s="53" t="s">
        <v>93</v>
      </c>
      <c r="D192" s="54" t="s">
        <v>170</v>
      </c>
      <c r="E192" s="60">
        <f>E195+E197+E199+E201+E205+E209+E193+E207+E203</f>
        <v>21287.600000000006</v>
      </c>
      <c r="F192" s="60">
        <f>F195+F197+F199+F201+F205+F209+F193+F207+F203</f>
        <v>20827.200000000004</v>
      </c>
    </row>
    <row r="193" spans="1:6" ht="31.5">
      <c r="A193" s="53" t="s">
        <v>76</v>
      </c>
      <c r="B193" s="53" t="s">
        <v>512</v>
      </c>
      <c r="C193" s="53" t="s">
        <v>93</v>
      </c>
      <c r="D193" s="54" t="s">
        <v>513</v>
      </c>
      <c r="E193" s="60">
        <f>E194</f>
        <v>677.9</v>
      </c>
      <c r="F193" s="60">
        <f aca="true" t="shared" si="82" ref="F193">F194</f>
        <v>624.4</v>
      </c>
    </row>
    <row r="194" spans="1:6" ht="31.5">
      <c r="A194" s="53" t="s">
        <v>76</v>
      </c>
      <c r="B194" s="53" t="s">
        <v>512</v>
      </c>
      <c r="C194" s="53" t="s">
        <v>96</v>
      </c>
      <c r="D194" s="54" t="s">
        <v>329</v>
      </c>
      <c r="E194" s="60">
        <f>'№6'!F164</f>
        <v>677.9</v>
      </c>
      <c r="F194" s="60">
        <f>'№6'!G164</f>
        <v>624.4</v>
      </c>
    </row>
    <row r="195" spans="1:6" ht="12.75">
      <c r="A195" s="53" t="s">
        <v>76</v>
      </c>
      <c r="B195" s="53" t="s">
        <v>236</v>
      </c>
      <c r="C195" s="53" t="s">
        <v>93</v>
      </c>
      <c r="D195" s="54" t="s">
        <v>171</v>
      </c>
      <c r="E195" s="60">
        <f>E196</f>
        <v>13545.6</v>
      </c>
      <c r="F195" s="60">
        <f aca="true" t="shared" si="83" ref="F195">F196</f>
        <v>13301.2</v>
      </c>
    </row>
    <row r="196" spans="1:6" ht="31.5">
      <c r="A196" s="53" t="s">
        <v>76</v>
      </c>
      <c r="B196" s="53" t="s">
        <v>236</v>
      </c>
      <c r="C196" s="53" t="s">
        <v>96</v>
      </c>
      <c r="D196" s="54" t="s">
        <v>329</v>
      </c>
      <c r="E196" s="60">
        <f>'№6'!F166</f>
        <v>13545.6</v>
      </c>
      <c r="F196" s="60">
        <f>'№6'!G166</f>
        <v>13301.2</v>
      </c>
    </row>
    <row r="197" spans="1:6" ht="18" customHeight="1">
      <c r="A197" s="53" t="s">
        <v>76</v>
      </c>
      <c r="B197" s="53" t="s">
        <v>237</v>
      </c>
      <c r="C197" s="53" t="s">
        <v>93</v>
      </c>
      <c r="D197" s="54" t="s">
        <v>172</v>
      </c>
      <c r="E197" s="60">
        <f>E198</f>
        <v>1087.7</v>
      </c>
      <c r="F197" s="60">
        <f aca="true" t="shared" si="84" ref="F197">F198</f>
        <v>1087.7</v>
      </c>
    </row>
    <row r="198" spans="1:6" ht="31.5">
      <c r="A198" s="53" t="s">
        <v>76</v>
      </c>
      <c r="B198" s="53" t="s">
        <v>237</v>
      </c>
      <c r="C198" s="53" t="s">
        <v>96</v>
      </c>
      <c r="D198" s="54" t="s">
        <v>329</v>
      </c>
      <c r="E198" s="60">
        <f>'№6'!F168</f>
        <v>1087.7</v>
      </c>
      <c r="F198" s="60">
        <f>'№6'!G168</f>
        <v>1087.7</v>
      </c>
    </row>
    <row r="199" spans="1:6" ht="12.75">
      <c r="A199" s="53" t="s">
        <v>76</v>
      </c>
      <c r="B199" s="53" t="s">
        <v>238</v>
      </c>
      <c r="C199" s="53" t="s">
        <v>93</v>
      </c>
      <c r="D199" s="54" t="s">
        <v>173</v>
      </c>
      <c r="E199" s="60">
        <f>E200</f>
        <v>2677.6</v>
      </c>
      <c r="F199" s="60">
        <f aca="true" t="shared" si="85" ref="F199">F200</f>
        <v>2542.5</v>
      </c>
    </row>
    <row r="200" spans="1:6" ht="31.5">
      <c r="A200" s="53" t="s">
        <v>76</v>
      </c>
      <c r="B200" s="53" t="s">
        <v>238</v>
      </c>
      <c r="C200" s="53" t="s">
        <v>96</v>
      </c>
      <c r="D200" s="54" t="s">
        <v>329</v>
      </c>
      <c r="E200" s="60">
        <f>'№6'!F170</f>
        <v>2677.6</v>
      </c>
      <c r="F200" s="60">
        <f>'№6'!G170</f>
        <v>2542.5</v>
      </c>
    </row>
    <row r="201" spans="1:6" ht="12.75">
      <c r="A201" s="53" t="s">
        <v>76</v>
      </c>
      <c r="B201" s="53" t="s">
        <v>239</v>
      </c>
      <c r="C201" s="53" t="s">
        <v>93</v>
      </c>
      <c r="D201" s="54" t="s">
        <v>380</v>
      </c>
      <c r="E201" s="60">
        <f>E202</f>
        <v>145.9</v>
      </c>
      <c r="F201" s="60">
        <f aca="true" t="shared" si="86" ref="F201">F202</f>
        <v>145.9</v>
      </c>
    </row>
    <row r="202" spans="1:6" ht="31.5">
      <c r="A202" s="53" t="s">
        <v>76</v>
      </c>
      <c r="B202" s="53" t="s">
        <v>239</v>
      </c>
      <c r="C202" s="53" t="s">
        <v>96</v>
      </c>
      <c r="D202" s="54" t="s">
        <v>329</v>
      </c>
      <c r="E202" s="60">
        <f>'№6'!F172</f>
        <v>145.9</v>
      </c>
      <c r="F202" s="60">
        <f>'№6'!G172</f>
        <v>145.9</v>
      </c>
    </row>
    <row r="203" spans="1:6" ht="31.5">
      <c r="A203" s="53" t="s">
        <v>76</v>
      </c>
      <c r="B203" s="53" t="s">
        <v>537</v>
      </c>
      <c r="C203" s="53" t="s">
        <v>93</v>
      </c>
      <c r="D203" s="54" t="s">
        <v>538</v>
      </c>
      <c r="E203" s="60">
        <f>E204</f>
        <v>258</v>
      </c>
      <c r="F203" s="60">
        <f aca="true" t="shared" si="87" ref="F203">F204</f>
        <v>258</v>
      </c>
    </row>
    <row r="204" spans="1:6" ht="31.5">
      <c r="A204" s="53" t="s">
        <v>76</v>
      </c>
      <c r="B204" s="53" t="s">
        <v>537</v>
      </c>
      <c r="C204" s="53" t="s">
        <v>96</v>
      </c>
      <c r="D204" s="54" t="s">
        <v>329</v>
      </c>
      <c r="E204" s="60">
        <f>'№6'!F174</f>
        <v>258</v>
      </c>
      <c r="F204" s="60">
        <f>'№6'!G174</f>
        <v>258</v>
      </c>
    </row>
    <row r="205" spans="1:6" ht="47.25">
      <c r="A205" s="53" t="s">
        <v>76</v>
      </c>
      <c r="B205" s="53" t="s">
        <v>381</v>
      </c>
      <c r="C205" s="53" t="s">
        <v>93</v>
      </c>
      <c r="D205" s="54" t="s">
        <v>382</v>
      </c>
      <c r="E205" s="60">
        <f>E206</f>
        <v>1133.4000000000005</v>
      </c>
      <c r="F205" s="60">
        <f aca="true" t="shared" si="88" ref="F205">F206</f>
        <v>1132.4</v>
      </c>
    </row>
    <row r="206" spans="1:6" ht="31.5">
      <c r="A206" s="53" t="s">
        <v>76</v>
      </c>
      <c r="B206" s="53" t="s">
        <v>381</v>
      </c>
      <c r="C206" s="53" t="s">
        <v>96</v>
      </c>
      <c r="D206" s="54" t="s">
        <v>329</v>
      </c>
      <c r="E206" s="60">
        <f>'№6'!F176</f>
        <v>1133.4000000000005</v>
      </c>
      <c r="F206" s="60">
        <f>'№6'!G176</f>
        <v>1132.4</v>
      </c>
    </row>
    <row r="207" spans="1:6" ht="31.5">
      <c r="A207" s="53" t="s">
        <v>76</v>
      </c>
      <c r="B207" s="53" t="s">
        <v>515</v>
      </c>
      <c r="C207" s="53" t="s">
        <v>93</v>
      </c>
      <c r="D207" s="54" t="s">
        <v>514</v>
      </c>
      <c r="E207" s="60">
        <f>E208</f>
        <v>996.3999999999999</v>
      </c>
      <c r="F207" s="60">
        <f aca="true" t="shared" si="89" ref="F207">F208</f>
        <v>970</v>
      </c>
    </row>
    <row r="208" spans="1:6" ht="31.5">
      <c r="A208" s="53" t="s">
        <v>76</v>
      </c>
      <c r="B208" s="53" t="s">
        <v>515</v>
      </c>
      <c r="C208" s="53" t="s">
        <v>96</v>
      </c>
      <c r="D208" s="54" t="s">
        <v>329</v>
      </c>
      <c r="E208" s="60">
        <f>'№6'!F178</f>
        <v>996.3999999999999</v>
      </c>
      <c r="F208" s="60">
        <f>'№6'!G178</f>
        <v>970</v>
      </c>
    </row>
    <row r="209" spans="1:6" ht="31.5">
      <c r="A209" s="53" t="s">
        <v>76</v>
      </c>
      <c r="B209" s="53" t="s">
        <v>240</v>
      </c>
      <c r="C209" s="53" t="s">
        <v>93</v>
      </c>
      <c r="D209" s="54" t="s">
        <v>174</v>
      </c>
      <c r="E209" s="60">
        <f>E210</f>
        <v>765.0999999999999</v>
      </c>
      <c r="F209" s="60">
        <f aca="true" t="shared" si="90" ref="F209">F210</f>
        <v>765.1</v>
      </c>
    </row>
    <row r="210" spans="1:6" ht="31.5">
      <c r="A210" s="53" t="s">
        <v>76</v>
      </c>
      <c r="B210" s="53" t="s">
        <v>240</v>
      </c>
      <c r="C210" s="53" t="s">
        <v>96</v>
      </c>
      <c r="D210" s="54" t="s">
        <v>329</v>
      </c>
      <c r="E210" s="60">
        <f>'№6'!F181</f>
        <v>765.0999999999999</v>
      </c>
      <c r="F210" s="60">
        <f>'№6'!G181</f>
        <v>765.1</v>
      </c>
    </row>
    <row r="211" spans="1:6" ht="12.75">
      <c r="A211" s="53" t="s">
        <v>76</v>
      </c>
      <c r="B211" s="53" t="s">
        <v>308</v>
      </c>
      <c r="C211" s="53" t="s">
        <v>93</v>
      </c>
      <c r="D211" s="54" t="s">
        <v>413</v>
      </c>
      <c r="E211" s="60">
        <f>E215+E212</f>
        <v>1000</v>
      </c>
      <c r="F211" s="60">
        <f aca="true" t="shared" si="91" ref="F211">F215+F212</f>
        <v>999.4</v>
      </c>
    </row>
    <row r="212" spans="1:6" ht="12.75">
      <c r="A212" s="53" t="s">
        <v>76</v>
      </c>
      <c r="B212" s="53" t="s">
        <v>414</v>
      </c>
      <c r="C212" s="53" t="s">
        <v>93</v>
      </c>
      <c r="D212" s="54" t="s">
        <v>13</v>
      </c>
      <c r="E212" s="60">
        <f>E213</f>
        <v>500</v>
      </c>
      <c r="F212" s="60">
        <f aca="true" t="shared" si="92" ref="F212:F213">F213</f>
        <v>499.4</v>
      </c>
    </row>
    <row r="213" spans="1:6" ht="31.5">
      <c r="A213" s="53" t="s">
        <v>76</v>
      </c>
      <c r="B213" s="53" t="s">
        <v>258</v>
      </c>
      <c r="C213" s="53" t="s">
        <v>93</v>
      </c>
      <c r="D213" s="54" t="s">
        <v>131</v>
      </c>
      <c r="E213" s="60">
        <f>E214</f>
        <v>500</v>
      </c>
      <c r="F213" s="60">
        <f t="shared" si="92"/>
        <v>499.4</v>
      </c>
    </row>
    <row r="214" spans="1:6" ht="31.5">
      <c r="A214" s="53" t="s">
        <v>76</v>
      </c>
      <c r="B214" s="53" t="s">
        <v>258</v>
      </c>
      <c r="C214" s="53" t="s">
        <v>96</v>
      </c>
      <c r="D214" s="54" t="s">
        <v>329</v>
      </c>
      <c r="E214" s="60">
        <f>'№6'!F185</f>
        <v>500</v>
      </c>
      <c r="F214" s="60">
        <f>'№6'!G185</f>
        <v>499.4</v>
      </c>
    </row>
    <row r="215" spans="1:6" ht="31.5">
      <c r="A215" s="53" t="s">
        <v>76</v>
      </c>
      <c r="B215" s="53" t="s">
        <v>420</v>
      </c>
      <c r="C215" s="53" t="s">
        <v>93</v>
      </c>
      <c r="D215" s="54" t="s">
        <v>421</v>
      </c>
      <c r="E215" s="60">
        <f>E216</f>
        <v>500</v>
      </c>
      <c r="F215" s="60">
        <f aca="true" t="shared" si="93" ref="F215:F216">F216</f>
        <v>500</v>
      </c>
    </row>
    <row r="216" spans="1:6" ht="31.5">
      <c r="A216" s="53" t="s">
        <v>76</v>
      </c>
      <c r="B216" s="53" t="s">
        <v>422</v>
      </c>
      <c r="C216" s="53" t="s">
        <v>93</v>
      </c>
      <c r="D216" s="54" t="s">
        <v>423</v>
      </c>
      <c r="E216" s="60">
        <f>E217</f>
        <v>500</v>
      </c>
      <c r="F216" s="60">
        <f t="shared" si="93"/>
        <v>500</v>
      </c>
    </row>
    <row r="217" spans="1:6" ht="31.5">
      <c r="A217" s="53" t="s">
        <v>76</v>
      </c>
      <c r="B217" s="53" t="s">
        <v>422</v>
      </c>
      <c r="C217" s="53" t="s">
        <v>96</v>
      </c>
      <c r="D217" s="54" t="s">
        <v>329</v>
      </c>
      <c r="E217" s="60">
        <f>'№6'!F188</f>
        <v>500</v>
      </c>
      <c r="F217" s="60">
        <f>'№6'!G188</f>
        <v>500</v>
      </c>
    </row>
    <row r="218" spans="1:6" ht="12.75">
      <c r="A218" s="55" t="s">
        <v>62</v>
      </c>
      <c r="B218" s="55" t="s">
        <v>93</v>
      </c>
      <c r="C218" s="55" t="s">
        <v>93</v>
      </c>
      <c r="D218" s="56" t="s">
        <v>53</v>
      </c>
      <c r="E218" s="57">
        <f>E219+E240+E271+E316+E345</f>
        <v>474532</v>
      </c>
      <c r="F218" s="57">
        <f>F219+F240+F271+F316+F345</f>
        <v>472402.3</v>
      </c>
    </row>
    <row r="219" spans="1:6" ht="12.75">
      <c r="A219" s="53" t="s">
        <v>77</v>
      </c>
      <c r="B219" s="53" t="s">
        <v>93</v>
      </c>
      <c r="C219" s="53" t="s">
        <v>93</v>
      </c>
      <c r="D219" s="54" t="s">
        <v>15</v>
      </c>
      <c r="E219" s="60">
        <f>E220+E236</f>
        <v>170700.6</v>
      </c>
      <c r="F219" s="60">
        <f aca="true" t="shared" si="94" ref="F219">F220+F236</f>
        <v>170700.59999999998</v>
      </c>
    </row>
    <row r="220" spans="1:6" ht="31.5">
      <c r="A220" s="53" t="s">
        <v>77</v>
      </c>
      <c r="B220" s="53" t="s">
        <v>278</v>
      </c>
      <c r="C220" s="53" t="s">
        <v>93</v>
      </c>
      <c r="D220" s="54" t="s">
        <v>383</v>
      </c>
      <c r="E220" s="60">
        <f>E221</f>
        <v>170631.80000000002</v>
      </c>
      <c r="F220" s="60">
        <f aca="true" t="shared" si="95" ref="F220">F221</f>
        <v>170631.8</v>
      </c>
    </row>
    <row r="221" spans="1:6" ht="31.5">
      <c r="A221" s="53" t="s">
        <v>77</v>
      </c>
      <c r="B221" s="53" t="s">
        <v>279</v>
      </c>
      <c r="C221" s="53" t="s">
        <v>93</v>
      </c>
      <c r="D221" s="54" t="s">
        <v>114</v>
      </c>
      <c r="E221" s="60">
        <f>E222+E224+E226+E228+E232+E234+E230</f>
        <v>170631.80000000002</v>
      </c>
      <c r="F221" s="60">
        <f aca="true" t="shared" si="96" ref="F221">F222+F224+F226+F228+F232+F234+F230</f>
        <v>170631.8</v>
      </c>
    </row>
    <row r="222" spans="1:6" ht="63">
      <c r="A222" s="14" t="s">
        <v>77</v>
      </c>
      <c r="B222" s="62" t="s">
        <v>295</v>
      </c>
      <c r="C222" s="62"/>
      <c r="D222" s="48" t="s">
        <v>116</v>
      </c>
      <c r="E222" s="60">
        <f>E223</f>
        <v>93411.2</v>
      </c>
      <c r="F222" s="60">
        <f aca="true" t="shared" si="97" ref="F222">F223</f>
        <v>93411.2</v>
      </c>
    </row>
    <row r="223" spans="1:6" ht="31.5">
      <c r="A223" s="14" t="s">
        <v>77</v>
      </c>
      <c r="B223" s="62" t="s">
        <v>295</v>
      </c>
      <c r="C223" s="133">
        <v>600</v>
      </c>
      <c r="D223" s="48" t="s">
        <v>117</v>
      </c>
      <c r="E223" s="60">
        <f>'№6'!F466</f>
        <v>93411.2</v>
      </c>
      <c r="F223" s="60">
        <f>'№6'!G466</f>
        <v>93411.2</v>
      </c>
    </row>
    <row r="224" spans="1:6" ht="47.25">
      <c r="A224" s="14" t="s">
        <v>77</v>
      </c>
      <c r="B224" s="62" t="s">
        <v>292</v>
      </c>
      <c r="C224" s="62"/>
      <c r="D224" s="68" t="s">
        <v>115</v>
      </c>
      <c r="E224" s="60">
        <f>E225</f>
        <v>68756.70000000001</v>
      </c>
      <c r="F224" s="60">
        <f aca="true" t="shared" si="98" ref="F224">F225</f>
        <v>68756.7</v>
      </c>
    </row>
    <row r="225" spans="1:6" ht="31.5">
      <c r="A225" s="14" t="s">
        <v>77</v>
      </c>
      <c r="B225" s="62" t="s">
        <v>292</v>
      </c>
      <c r="C225" s="133">
        <v>600</v>
      </c>
      <c r="D225" s="48" t="s">
        <v>117</v>
      </c>
      <c r="E225" s="60">
        <f>'№6'!F468</f>
        <v>68756.70000000001</v>
      </c>
      <c r="F225" s="60">
        <f>'№6'!G468</f>
        <v>68756.7</v>
      </c>
    </row>
    <row r="226" spans="1:6" ht="31.5">
      <c r="A226" s="53" t="s">
        <v>77</v>
      </c>
      <c r="B226" s="53" t="s">
        <v>293</v>
      </c>
      <c r="C226" s="53" t="s">
        <v>93</v>
      </c>
      <c r="D226" s="54" t="s">
        <v>471</v>
      </c>
      <c r="E226" s="60">
        <f>E227</f>
        <v>2777.7</v>
      </c>
      <c r="F226" s="60">
        <f aca="true" t="shared" si="99" ref="F226">F227</f>
        <v>2777.7</v>
      </c>
    </row>
    <row r="227" spans="1:6" ht="31.5">
      <c r="A227" s="53" t="s">
        <v>77</v>
      </c>
      <c r="B227" s="53" t="s">
        <v>293</v>
      </c>
      <c r="C227" s="53" t="s">
        <v>397</v>
      </c>
      <c r="D227" s="54" t="s">
        <v>398</v>
      </c>
      <c r="E227" s="60">
        <f>'№6'!F470</f>
        <v>2777.7</v>
      </c>
      <c r="F227" s="60">
        <f>'№6'!G470</f>
        <v>2777.7</v>
      </c>
    </row>
    <row r="228" spans="1:6" ht="47.25">
      <c r="A228" s="53" t="s">
        <v>77</v>
      </c>
      <c r="B228" s="53" t="s">
        <v>294</v>
      </c>
      <c r="C228" s="53" t="s">
        <v>93</v>
      </c>
      <c r="D228" s="54" t="s">
        <v>121</v>
      </c>
      <c r="E228" s="60">
        <f>E229</f>
        <v>2566.4</v>
      </c>
      <c r="F228" s="60">
        <f aca="true" t="shared" si="100" ref="F228">F229</f>
        <v>2566.4</v>
      </c>
    </row>
    <row r="229" spans="1:6" ht="31.5">
      <c r="A229" s="53" t="s">
        <v>77</v>
      </c>
      <c r="B229" s="53" t="s">
        <v>294</v>
      </c>
      <c r="C229" s="53" t="s">
        <v>397</v>
      </c>
      <c r="D229" s="54" t="s">
        <v>398</v>
      </c>
      <c r="E229" s="60">
        <f>'№6'!F472</f>
        <v>2566.4</v>
      </c>
      <c r="F229" s="60">
        <f>'№6'!G472</f>
        <v>2566.4</v>
      </c>
    </row>
    <row r="230" spans="1:6" ht="31.5">
      <c r="A230" s="53" t="s">
        <v>77</v>
      </c>
      <c r="B230" s="53" t="s">
        <v>677</v>
      </c>
      <c r="C230" s="53"/>
      <c r="D230" s="54" t="s">
        <v>678</v>
      </c>
      <c r="E230" s="60">
        <f>E231</f>
        <v>173.8</v>
      </c>
      <c r="F230" s="60">
        <f aca="true" t="shared" si="101" ref="F230">F231</f>
        <v>173.8</v>
      </c>
    </row>
    <row r="231" spans="1:6" ht="31.5">
      <c r="A231" s="53" t="s">
        <v>77</v>
      </c>
      <c r="B231" s="53" t="s">
        <v>677</v>
      </c>
      <c r="C231" s="53" t="s">
        <v>397</v>
      </c>
      <c r="D231" s="54" t="s">
        <v>398</v>
      </c>
      <c r="E231" s="60">
        <f>'№6'!F474</f>
        <v>173.8</v>
      </c>
      <c r="F231" s="60">
        <f>'№6'!G474</f>
        <v>173.8</v>
      </c>
    </row>
    <row r="232" spans="1:6" ht="63">
      <c r="A232" s="53" t="s">
        <v>77</v>
      </c>
      <c r="B232" s="53" t="s">
        <v>522</v>
      </c>
      <c r="C232" s="53" t="s">
        <v>93</v>
      </c>
      <c r="D232" s="54" t="s">
        <v>523</v>
      </c>
      <c r="E232" s="60">
        <f>E233</f>
        <v>90.3</v>
      </c>
      <c r="F232" s="60">
        <f aca="true" t="shared" si="102" ref="F232">F233</f>
        <v>90.3</v>
      </c>
    </row>
    <row r="233" spans="1:6" ht="31.5">
      <c r="A233" s="53" t="s">
        <v>77</v>
      </c>
      <c r="B233" s="53" t="s">
        <v>522</v>
      </c>
      <c r="C233" s="53" t="s">
        <v>397</v>
      </c>
      <c r="D233" s="54" t="s">
        <v>398</v>
      </c>
      <c r="E233" s="60">
        <f>'№6'!F476</f>
        <v>90.3</v>
      </c>
      <c r="F233" s="60">
        <f>'№6'!G476</f>
        <v>90.3</v>
      </c>
    </row>
    <row r="234" spans="1:6" ht="78.75">
      <c r="A234" s="53" t="s">
        <v>77</v>
      </c>
      <c r="B234" s="53" t="s">
        <v>585</v>
      </c>
      <c r="C234" s="53" t="s">
        <v>93</v>
      </c>
      <c r="D234" s="54" t="s">
        <v>588</v>
      </c>
      <c r="E234" s="60">
        <f>E235</f>
        <v>2855.7</v>
      </c>
      <c r="F234" s="60">
        <f aca="true" t="shared" si="103" ref="F234">F235</f>
        <v>2855.7</v>
      </c>
    </row>
    <row r="235" spans="1:6" ht="31.5">
      <c r="A235" s="53" t="s">
        <v>77</v>
      </c>
      <c r="B235" s="53" t="s">
        <v>585</v>
      </c>
      <c r="C235" s="53" t="s">
        <v>397</v>
      </c>
      <c r="D235" s="54" t="s">
        <v>398</v>
      </c>
      <c r="E235" s="60">
        <f>'№6'!F478</f>
        <v>2855.7</v>
      </c>
      <c r="F235" s="60">
        <f>'№6'!G478</f>
        <v>2855.7</v>
      </c>
    </row>
    <row r="236" spans="1:6" ht="12.75">
      <c r="A236" s="53" t="s">
        <v>77</v>
      </c>
      <c r="B236" s="63">
        <v>9900000000</v>
      </c>
      <c r="C236" s="78"/>
      <c r="D236" s="65" t="s">
        <v>487</v>
      </c>
      <c r="E236" s="60">
        <f>E237</f>
        <v>68.8</v>
      </c>
      <c r="F236" s="60">
        <f aca="true" t="shared" si="104" ref="F236:F238">F237</f>
        <v>68.8</v>
      </c>
    </row>
    <row r="237" spans="1:6" ht="31.5">
      <c r="A237" s="53" t="s">
        <v>77</v>
      </c>
      <c r="B237" s="63">
        <v>9950000000</v>
      </c>
      <c r="C237" s="15"/>
      <c r="D237" s="48" t="s">
        <v>602</v>
      </c>
      <c r="E237" s="60">
        <f>E238</f>
        <v>68.8</v>
      </c>
      <c r="F237" s="60">
        <f t="shared" si="104"/>
        <v>68.8</v>
      </c>
    </row>
    <row r="238" spans="1:6" ht="47.25">
      <c r="A238" s="53" t="s">
        <v>77</v>
      </c>
      <c r="B238" s="63" t="s">
        <v>603</v>
      </c>
      <c r="C238" s="15"/>
      <c r="D238" s="48" t="s">
        <v>604</v>
      </c>
      <c r="E238" s="60">
        <f>E239</f>
        <v>68.8</v>
      </c>
      <c r="F238" s="60">
        <f t="shared" si="104"/>
        <v>68.8</v>
      </c>
    </row>
    <row r="239" spans="1:6" ht="31.5">
      <c r="A239" s="53" t="s">
        <v>77</v>
      </c>
      <c r="B239" s="63" t="s">
        <v>603</v>
      </c>
      <c r="C239" s="133">
        <v>600</v>
      </c>
      <c r="D239" s="48" t="s">
        <v>117</v>
      </c>
      <c r="E239" s="60">
        <f>'№6'!F482</f>
        <v>68.8</v>
      </c>
      <c r="F239" s="60">
        <f>'№6'!G482</f>
        <v>68.8</v>
      </c>
    </row>
    <row r="240" spans="1:6" ht="12.75">
      <c r="A240" s="53" t="s">
        <v>78</v>
      </c>
      <c r="B240" s="53" t="s">
        <v>93</v>
      </c>
      <c r="C240" s="53" t="s">
        <v>93</v>
      </c>
      <c r="D240" s="54" t="s">
        <v>16</v>
      </c>
      <c r="E240" s="60">
        <f>E241+E267</f>
        <v>236693.5</v>
      </c>
      <c r="F240" s="60">
        <f aca="true" t="shared" si="105" ref="F240">F241+F267</f>
        <v>235825.5</v>
      </c>
    </row>
    <row r="241" spans="1:6" ht="31.5">
      <c r="A241" s="53" t="s">
        <v>78</v>
      </c>
      <c r="B241" s="53" t="s">
        <v>278</v>
      </c>
      <c r="C241" s="53" t="s">
        <v>93</v>
      </c>
      <c r="D241" s="54" t="s">
        <v>383</v>
      </c>
      <c r="E241" s="60">
        <f>E242</f>
        <v>236543.5</v>
      </c>
      <c r="F241" s="60">
        <f aca="true" t="shared" si="106" ref="F241">F242</f>
        <v>235675.5</v>
      </c>
    </row>
    <row r="242" spans="1:6" ht="31.5">
      <c r="A242" s="53" t="s">
        <v>78</v>
      </c>
      <c r="B242" s="53" t="s">
        <v>279</v>
      </c>
      <c r="C242" s="53" t="s">
        <v>93</v>
      </c>
      <c r="D242" s="54" t="s">
        <v>114</v>
      </c>
      <c r="E242" s="60">
        <f>E249+E251+E253+E259+E265+E261+E257+E263+E255+E243+E245+E247</f>
        <v>236543.5</v>
      </c>
      <c r="F242" s="60">
        <f aca="true" t="shared" si="107" ref="F242">F249+F251+F253+F259+F265+F261+F257+F263+F255+F243+F245+F247</f>
        <v>235675.5</v>
      </c>
    </row>
    <row r="243" spans="1:6" ht="47.25">
      <c r="A243" s="14" t="s">
        <v>78</v>
      </c>
      <c r="B243" s="62" t="s">
        <v>552</v>
      </c>
      <c r="C243" s="62"/>
      <c r="D243" s="59" t="s">
        <v>553</v>
      </c>
      <c r="E243" s="60">
        <f>E244</f>
        <v>4212.5</v>
      </c>
      <c r="F243" s="60">
        <f aca="true" t="shared" si="108" ref="F243">F244</f>
        <v>4212.5</v>
      </c>
    </row>
    <row r="244" spans="1:6" ht="31.5">
      <c r="A244" s="14" t="s">
        <v>78</v>
      </c>
      <c r="B244" s="62" t="s">
        <v>552</v>
      </c>
      <c r="C244" s="133">
        <v>600</v>
      </c>
      <c r="D244" s="68" t="s">
        <v>117</v>
      </c>
      <c r="E244" s="60">
        <f>'№6'!F488</f>
        <v>4212.5</v>
      </c>
      <c r="F244" s="60">
        <f>'№6'!G488</f>
        <v>4212.5</v>
      </c>
    </row>
    <row r="245" spans="1:6" ht="48" customHeight="1">
      <c r="A245" s="14" t="s">
        <v>78</v>
      </c>
      <c r="B245" s="62" t="s">
        <v>557</v>
      </c>
      <c r="C245" s="62"/>
      <c r="D245" s="54" t="s">
        <v>559</v>
      </c>
      <c r="E245" s="60">
        <f>E246</f>
        <v>5153.9</v>
      </c>
      <c r="F245" s="60">
        <f aca="true" t="shared" si="109" ref="F245">F246</f>
        <v>4285.9</v>
      </c>
    </row>
    <row r="246" spans="1:6" ht="31.5">
      <c r="A246" s="14" t="s">
        <v>78</v>
      </c>
      <c r="B246" s="62" t="s">
        <v>557</v>
      </c>
      <c r="C246" s="133">
        <v>600</v>
      </c>
      <c r="D246" s="68" t="s">
        <v>117</v>
      </c>
      <c r="E246" s="60">
        <f>'№6'!F490</f>
        <v>5153.9</v>
      </c>
      <c r="F246" s="60">
        <f>'№6'!G490</f>
        <v>4285.9</v>
      </c>
    </row>
    <row r="247" spans="1:6" ht="63">
      <c r="A247" s="53" t="s">
        <v>78</v>
      </c>
      <c r="B247" s="53" t="s">
        <v>584</v>
      </c>
      <c r="C247" s="53" t="s">
        <v>93</v>
      </c>
      <c r="D247" s="54" t="s">
        <v>587</v>
      </c>
      <c r="E247" s="60">
        <f>E248</f>
        <v>205.9</v>
      </c>
      <c r="F247" s="60">
        <f aca="true" t="shared" si="110" ref="F247">F248</f>
        <v>205.9</v>
      </c>
    </row>
    <row r="248" spans="1:6" ht="31.5">
      <c r="A248" s="53" t="s">
        <v>78</v>
      </c>
      <c r="B248" s="53" t="s">
        <v>584</v>
      </c>
      <c r="C248" s="53" t="s">
        <v>397</v>
      </c>
      <c r="D248" s="54" t="s">
        <v>398</v>
      </c>
      <c r="E248" s="60">
        <f>'№6'!F492</f>
        <v>205.9</v>
      </c>
      <c r="F248" s="60">
        <f>'№6'!G492</f>
        <v>205.9</v>
      </c>
    </row>
    <row r="249" spans="1:6" ht="94.5">
      <c r="A249" s="14" t="s">
        <v>78</v>
      </c>
      <c r="B249" s="62" t="s">
        <v>301</v>
      </c>
      <c r="C249" s="62"/>
      <c r="D249" s="68" t="s">
        <v>128</v>
      </c>
      <c r="E249" s="60">
        <f>E250</f>
        <v>176653</v>
      </c>
      <c r="F249" s="60">
        <f aca="true" t="shared" si="111" ref="F249">F250</f>
        <v>176653</v>
      </c>
    </row>
    <row r="250" spans="1:6" ht="31.5">
      <c r="A250" s="14" t="s">
        <v>78</v>
      </c>
      <c r="B250" s="62" t="s">
        <v>301</v>
      </c>
      <c r="C250" s="133">
        <v>600</v>
      </c>
      <c r="D250" s="68" t="s">
        <v>117</v>
      </c>
      <c r="E250" s="60">
        <f>'№6'!F494</f>
        <v>176653</v>
      </c>
      <c r="F250" s="60">
        <f>'№6'!G494</f>
        <v>176653</v>
      </c>
    </row>
    <row r="251" spans="1:6" ht="48.75" customHeight="1">
      <c r="A251" s="14" t="s">
        <v>78</v>
      </c>
      <c r="B251" s="62" t="s">
        <v>296</v>
      </c>
      <c r="C251" s="62"/>
      <c r="D251" s="68" t="s">
        <v>118</v>
      </c>
      <c r="E251" s="60">
        <f>E252</f>
        <v>37194.7</v>
      </c>
      <c r="F251" s="60">
        <f aca="true" t="shared" si="112" ref="F251">F252</f>
        <v>37194.7</v>
      </c>
    </row>
    <row r="252" spans="1:6" ht="31.5">
      <c r="A252" s="14" t="s">
        <v>78</v>
      </c>
      <c r="B252" s="62" t="s">
        <v>296</v>
      </c>
      <c r="C252" s="133">
        <v>600</v>
      </c>
      <c r="D252" s="48" t="s">
        <v>117</v>
      </c>
      <c r="E252" s="60">
        <f>'№6'!F496</f>
        <v>37194.7</v>
      </c>
      <c r="F252" s="60">
        <f>'№6'!G496</f>
        <v>37194.7</v>
      </c>
    </row>
    <row r="253" spans="1:6" ht="31.5">
      <c r="A253" s="53" t="s">
        <v>78</v>
      </c>
      <c r="B253" s="53" t="s">
        <v>299</v>
      </c>
      <c r="C253" s="53" t="s">
        <v>93</v>
      </c>
      <c r="D253" s="54" t="s">
        <v>474</v>
      </c>
      <c r="E253" s="60">
        <f>E254</f>
        <v>1004.6</v>
      </c>
      <c r="F253" s="60">
        <f aca="true" t="shared" si="113" ref="F253">F254</f>
        <v>1004.6</v>
      </c>
    </row>
    <row r="254" spans="1:6" ht="31.5">
      <c r="A254" s="53" t="s">
        <v>78</v>
      </c>
      <c r="B254" s="53" t="s">
        <v>299</v>
      </c>
      <c r="C254" s="53" t="s">
        <v>397</v>
      </c>
      <c r="D254" s="54" t="s">
        <v>398</v>
      </c>
      <c r="E254" s="60">
        <f>'№6'!F498</f>
        <v>1004.6</v>
      </c>
      <c r="F254" s="60">
        <f>'№6'!G498</f>
        <v>1004.6</v>
      </c>
    </row>
    <row r="255" spans="1:6" ht="31.5">
      <c r="A255" s="53" t="s">
        <v>78</v>
      </c>
      <c r="B255" s="53" t="s">
        <v>543</v>
      </c>
      <c r="C255" s="53" t="s">
        <v>93</v>
      </c>
      <c r="D255" s="54" t="s">
        <v>551</v>
      </c>
      <c r="E255" s="60">
        <f>E256</f>
        <v>1491</v>
      </c>
      <c r="F255" s="60">
        <f aca="true" t="shared" si="114" ref="F255">F256</f>
        <v>1491</v>
      </c>
    </row>
    <row r="256" spans="1:6" ht="31.5">
      <c r="A256" s="53" t="s">
        <v>78</v>
      </c>
      <c r="B256" s="53" t="s">
        <v>543</v>
      </c>
      <c r="C256" s="53" t="s">
        <v>397</v>
      </c>
      <c r="D256" s="54" t="s">
        <v>398</v>
      </c>
      <c r="E256" s="60">
        <f>'№6'!F500</f>
        <v>1491</v>
      </c>
      <c r="F256" s="60">
        <f>'№6'!G500</f>
        <v>1491</v>
      </c>
    </row>
    <row r="257" spans="1:6" ht="31.5">
      <c r="A257" s="53" t="s">
        <v>78</v>
      </c>
      <c r="B257" s="53" t="s">
        <v>524</v>
      </c>
      <c r="C257" s="53" t="s">
        <v>93</v>
      </c>
      <c r="D257" s="54" t="s">
        <v>525</v>
      </c>
      <c r="E257" s="60">
        <f>E258</f>
        <v>850.3</v>
      </c>
      <c r="F257" s="60">
        <f aca="true" t="shared" si="115" ref="F257">F258</f>
        <v>850.3</v>
      </c>
    </row>
    <row r="258" spans="1:6" ht="31.5">
      <c r="A258" s="53" t="s">
        <v>78</v>
      </c>
      <c r="B258" s="53" t="s">
        <v>524</v>
      </c>
      <c r="C258" s="53" t="s">
        <v>397</v>
      </c>
      <c r="D258" s="54" t="s">
        <v>398</v>
      </c>
      <c r="E258" s="60">
        <f>'№6'!F502</f>
        <v>850.3</v>
      </c>
      <c r="F258" s="60">
        <f>'№6'!G502</f>
        <v>850.3</v>
      </c>
    </row>
    <row r="259" spans="1:6" ht="47.25">
      <c r="A259" s="53" t="s">
        <v>78</v>
      </c>
      <c r="B259" s="53" t="s">
        <v>300</v>
      </c>
      <c r="C259" s="53" t="s">
        <v>93</v>
      </c>
      <c r="D259" s="54" t="s">
        <v>122</v>
      </c>
      <c r="E259" s="60">
        <f>E260</f>
        <v>4414</v>
      </c>
      <c r="F259" s="60">
        <f aca="true" t="shared" si="116" ref="F259">F260</f>
        <v>4414</v>
      </c>
    </row>
    <row r="260" spans="1:6" ht="31.5">
      <c r="A260" s="53" t="s">
        <v>78</v>
      </c>
      <c r="B260" s="53" t="s">
        <v>300</v>
      </c>
      <c r="C260" s="53" t="s">
        <v>397</v>
      </c>
      <c r="D260" s="54" t="s">
        <v>398</v>
      </c>
      <c r="E260" s="60">
        <f>'№6'!F504</f>
        <v>4414</v>
      </c>
      <c r="F260" s="60">
        <f>'№6'!G504</f>
        <v>4414</v>
      </c>
    </row>
    <row r="261" spans="1:6" ht="47.25">
      <c r="A261" s="53" t="s">
        <v>78</v>
      </c>
      <c r="B261" s="53" t="s">
        <v>494</v>
      </c>
      <c r="C261" s="53" t="s">
        <v>93</v>
      </c>
      <c r="D261" s="54" t="s">
        <v>493</v>
      </c>
      <c r="E261" s="60">
        <f>E262</f>
        <v>1651.6999999999998</v>
      </c>
      <c r="F261" s="60">
        <f aca="true" t="shared" si="117" ref="F261">F262</f>
        <v>1651.7</v>
      </c>
    </row>
    <row r="262" spans="1:6" ht="31.5">
      <c r="A262" s="53" t="s">
        <v>78</v>
      </c>
      <c r="B262" s="53" t="s">
        <v>494</v>
      </c>
      <c r="C262" s="53" t="s">
        <v>397</v>
      </c>
      <c r="D262" s="54" t="s">
        <v>398</v>
      </c>
      <c r="E262" s="60">
        <f>'№6'!F506</f>
        <v>1651.6999999999998</v>
      </c>
      <c r="F262" s="60">
        <f>'№6'!G506</f>
        <v>1651.7</v>
      </c>
    </row>
    <row r="263" spans="1:6" ht="47.25">
      <c r="A263" s="53" t="s">
        <v>78</v>
      </c>
      <c r="B263" s="53" t="s">
        <v>528</v>
      </c>
      <c r="C263" s="53" t="s">
        <v>93</v>
      </c>
      <c r="D263" s="54" t="s">
        <v>529</v>
      </c>
      <c r="E263" s="60">
        <f>E264</f>
        <v>2.1</v>
      </c>
      <c r="F263" s="60">
        <f aca="true" t="shared" si="118" ref="F263">F264</f>
        <v>2.1</v>
      </c>
    </row>
    <row r="264" spans="1:6" ht="31.5">
      <c r="A264" s="53" t="s">
        <v>78</v>
      </c>
      <c r="B264" s="53" t="s">
        <v>528</v>
      </c>
      <c r="C264" s="53" t="s">
        <v>397</v>
      </c>
      <c r="D264" s="54" t="s">
        <v>398</v>
      </c>
      <c r="E264" s="60">
        <f>'№6'!F508</f>
        <v>2.1</v>
      </c>
      <c r="F264" s="60">
        <f>'№6'!G508</f>
        <v>2.1</v>
      </c>
    </row>
    <row r="265" spans="1:6" ht="31.5">
      <c r="A265" s="14" t="s">
        <v>78</v>
      </c>
      <c r="B265" s="62" t="s">
        <v>297</v>
      </c>
      <c r="C265" s="62"/>
      <c r="D265" s="68" t="s">
        <v>119</v>
      </c>
      <c r="E265" s="60">
        <f>E266</f>
        <v>3709.7999999999997</v>
      </c>
      <c r="F265" s="60">
        <f aca="true" t="shared" si="119" ref="F265">F266</f>
        <v>3709.8</v>
      </c>
    </row>
    <row r="266" spans="1:6" ht="31.5">
      <c r="A266" s="14" t="s">
        <v>78</v>
      </c>
      <c r="B266" s="62" t="s">
        <v>297</v>
      </c>
      <c r="C266" s="133">
        <v>600</v>
      </c>
      <c r="D266" s="48" t="s">
        <v>117</v>
      </c>
      <c r="E266" s="60">
        <f>'№6'!F511</f>
        <v>3709.7999999999997</v>
      </c>
      <c r="F266" s="60">
        <f>'№6'!G511</f>
        <v>3709.8</v>
      </c>
    </row>
    <row r="267" spans="1:6" ht="12.75">
      <c r="A267" s="53" t="s">
        <v>78</v>
      </c>
      <c r="B267" s="63">
        <v>9900000000</v>
      </c>
      <c r="C267" s="78"/>
      <c r="D267" s="65" t="s">
        <v>487</v>
      </c>
      <c r="E267" s="60">
        <f>E268</f>
        <v>150</v>
      </c>
      <c r="F267" s="60">
        <f aca="true" t="shared" si="120" ref="F267:F269">F268</f>
        <v>150</v>
      </c>
    </row>
    <row r="268" spans="1:6" ht="31.5">
      <c r="A268" s="14" t="s">
        <v>78</v>
      </c>
      <c r="B268" s="63">
        <v>9950000000</v>
      </c>
      <c r="C268" s="15"/>
      <c r="D268" s="48" t="s">
        <v>602</v>
      </c>
      <c r="E268" s="60">
        <f>E269</f>
        <v>150</v>
      </c>
      <c r="F268" s="60">
        <f t="shared" si="120"/>
        <v>150</v>
      </c>
    </row>
    <row r="269" spans="1:6" ht="35.25" customHeight="1">
      <c r="A269" s="14" t="s">
        <v>78</v>
      </c>
      <c r="B269" s="63" t="s">
        <v>603</v>
      </c>
      <c r="C269" s="15"/>
      <c r="D269" s="48" t="s">
        <v>604</v>
      </c>
      <c r="E269" s="60">
        <f>E270</f>
        <v>150</v>
      </c>
      <c r="F269" s="60">
        <f t="shared" si="120"/>
        <v>150</v>
      </c>
    </row>
    <row r="270" spans="1:6" ht="31.5">
      <c r="A270" s="14" t="s">
        <v>78</v>
      </c>
      <c r="B270" s="63" t="s">
        <v>603</v>
      </c>
      <c r="C270" s="133">
        <v>600</v>
      </c>
      <c r="D270" s="48" t="s">
        <v>117</v>
      </c>
      <c r="E270" s="60">
        <f>'№6'!F515</f>
        <v>150</v>
      </c>
      <c r="F270" s="60">
        <f>'№6'!G515</f>
        <v>150</v>
      </c>
    </row>
    <row r="271" spans="1:6" ht="12.75">
      <c r="A271" s="53" t="s">
        <v>319</v>
      </c>
      <c r="B271" s="53" t="s">
        <v>93</v>
      </c>
      <c r="C271" s="53" t="s">
        <v>93</v>
      </c>
      <c r="D271" s="54" t="s">
        <v>320</v>
      </c>
      <c r="E271" s="60">
        <f>E272+E286+E296+E312</f>
        <v>43737.799999999996</v>
      </c>
      <c r="F271" s="60">
        <f>F272+F286+F296+F312</f>
        <v>42507.899999999994</v>
      </c>
    </row>
    <row r="272" spans="1:6" ht="31.5">
      <c r="A272" s="53" t="s">
        <v>319</v>
      </c>
      <c r="B272" s="53" t="s">
        <v>278</v>
      </c>
      <c r="C272" s="53" t="s">
        <v>93</v>
      </c>
      <c r="D272" s="54" t="s">
        <v>383</v>
      </c>
      <c r="E272" s="60">
        <f>E273</f>
        <v>11828.6</v>
      </c>
      <c r="F272" s="60">
        <f>F273</f>
        <v>10613.8</v>
      </c>
    </row>
    <row r="273" spans="1:6" ht="31.5">
      <c r="A273" s="53" t="s">
        <v>319</v>
      </c>
      <c r="B273" s="53" t="s">
        <v>279</v>
      </c>
      <c r="C273" s="53" t="s">
        <v>93</v>
      </c>
      <c r="D273" s="54" t="s">
        <v>114</v>
      </c>
      <c r="E273" s="60">
        <f>E278+E282+E274+E276+E284+E280</f>
        <v>11828.6</v>
      </c>
      <c r="F273" s="60">
        <f>F278+F282+F274+F276+F284+F280</f>
        <v>10613.8</v>
      </c>
    </row>
    <row r="274" spans="1:6" ht="47.25">
      <c r="A274" s="53" t="s">
        <v>319</v>
      </c>
      <c r="B274" s="62" t="s">
        <v>598</v>
      </c>
      <c r="C274" s="62"/>
      <c r="D274" s="68" t="s">
        <v>599</v>
      </c>
      <c r="E274" s="60">
        <f>E275</f>
        <v>300</v>
      </c>
      <c r="F274" s="60">
        <f>F275</f>
        <v>292.5</v>
      </c>
    </row>
    <row r="275" spans="1:6" ht="31.5">
      <c r="A275" s="53" t="s">
        <v>319</v>
      </c>
      <c r="B275" s="62" t="s">
        <v>598</v>
      </c>
      <c r="C275" s="133">
        <v>600</v>
      </c>
      <c r="D275" s="48" t="s">
        <v>117</v>
      </c>
      <c r="E275" s="60">
        <f>'№6'!F521</f>
        <v>300</v>
      </c>
      <c r="F275" s="60">
        <f>'№6'!G521</f>
        <v>292.5</v>
      </c>
    </row>
    <row r="276" spans="1:6" ht="47.25">
      <c r="A276" s="53" t="s">
        <v>319</v>
      </c>
      <c r="B276" s="62" t="s">
        <v>609</v>
      </c>
      <c r="C276" s="133"/>
      <c r="D276" s="54" t="s">
        <v>616</v>
      </c>
      <c r="E276" s="60">
        <f>E277</f>
        <v>2760.1</v>
      </c>
      <c r="F276" s="60">
        <f>F277</f>
        <v>1552.8</v>
      </c>
    </row>
    <row r="277" spans="1:6" ht="31.5">
      <c r="A277" s="53" t="s">
        <v>319</v>
      </c>
      <c r="B277" s="62" t="s">
        <v>609</v>
      </c>
      <c r="C277" s="133">
        <v>600</v>
      </c>
      <c r="D277" s="48" t="s">
        <v>117</v>
      </c>
      <c r="E277" s="60">
        <f>'№6'!F523</f>
        <v>2760.1</v>
      </c>
      <c r="F277" s="60">
        <f>'№6'!G523</f>
        <v>1552.8</v>
      </c>
    </row>
    <row r="278" spans="1:6" ht="47.25">
      <c r="A278" s="53" t="s">
        <v>319</v>
      </c>
      <c r="B278" s="62" t="s">
        <v>298</v>
      </c>
      <c r="C278" s="62"/>
      <c r="D278" s="68" t="s">
        <v>120</v>
      </c>
      <c r="E278" s="60">
        <f>E279</f>
        <v>8144.9</v>
      </c>
      <c r="F278" s="60">
        <f>F279</f>
        <v>8144.9</v>
      </c>
    </row>
    <row r="279" spans="1:6" ht="31.5">
      <c r="A279" s="53" t="s">
        <v>319</v>
      </c>
      <c r="B279" s="62" t="s">
        <v>298</v>
      </c>
      <c r="C279" s="133">
        <v>600</v>
      </c>
      <c r="D279" s="48" t="s">
        <v>117</v>
      </c>
      <c r="E279" s="60">
        <f>'№6'!F525</f>
        <v>8144.9</v>
      </c>
      <c r="F279" s="60">
        <f>'№6'!G525</f>
        <v>8144.9</v>
      </c>
    </row>
    <row r="280" spans="1:6" ht="31.5">
      <c r="A280" s="53" t="s">
        <v>319</v>
      </c>
      <c r="B280" s="62" t="s">
        <v>679</v>
      </c>
      <c r="C280" s="133"/>
      <c r="D280" s="48" t="s">
        <v>680</v>
      </c>
      <c r="E280" s="60">
        <f>E281</f>
        <v>448</v>
      </c>
      <c r="F280" s="60">
        <f>F281</f>
        <v>448</v>
      </c>
    </row>
    <row r="281" spans="1:6" ht="31.5">
      <c r="A281" s="53" t="s">
        <v>319</v>
      </c>
      <c r="B281" s="62" t="s">
        <v>679</v>
      </c>
      <c r="C281" s="133">
        <v>600</v>
      </c>
      <c r="D281" s="48" t="s">
        <v>117</v>
      </c>
      <c r="E281" s="60">
        <f>'№6'!F527</f>
        <v>448</v>
      </c>
      <c r="F281" s="60">
        <f>'№6'!G527</f>
        <v>448</v>
      </c>
    </row>
    <row r="282" spans="1:6" ht="47.25">
      <c r="A282" s="53" t="s">
        <v>319</v>
      </c>
      <c r="B282" s="62" t="s">
        <v>526</v>
      </c>
      <c r="C282" s="62"/>
      <c r="D282" s="68" t="s">
        <v>527</v>
      </c>
      <c r="E282" s="60">
        <f>E283</f>
        <v>33.4</v>
      </c>
      <c r="F282" s="60">
        <f>F283</f>
        <v>33.4</v>
      </c>
    </row>
    <row r="283" spans="1:6" ht="31.5">
      <c r="A283" s="53" t="s">
        <v>319</v>
      </c>
      <c r="B283" s="62" t="s">
        <v>526</v>
      </c>
      <c r="C283" s="133">
        <v>600</v>
      </c>
      <c r="D283" s="48" t="s">
        <v>117</v>
      </c>
      <c r="E283" s="60">
        <f>'№6'!F529</f>
        <v>33.4</v>
      </c>
      <c r="F283" s="60">
        <f>'№6'!G529</f>
        <v>33.4</v>
      </c>
    </row>
    <row r="284" spans="1:6" ht="47.25">
      <c r="A284" s="53" t="s">
        <v>319</v>
      </c>
      <c r="B284" s="62" t="s">
        <v>608</v>
      </c>
      <c r="C284" s="133"/>
      <c r="D284" s="48" t="s">
        <v>623</v>
      </c>
      <c r="E284" s="60">
        <f>E285</f>
        <v>142.2</v>
      </c>
      <c r="F284" s="60">
        <f>F285</f>
        <v>142.2</v>
      </c>
    </row>
    <row r="285" spans="1:6" ht="31.5">
      <c r="A285" s="53" t="s">
        <v>319</v>
      </c>
      <c r="B285" s="62" t="s">
        <v>608</v>
      </c>
      <c r="C285" s="133">
        <v>600</v>
      </c>
      <c r="D285" s="48" t="s">
        <v>117</v>
      </c>
      <c r="E285" s="60">
        <f>'№6'!F531</f>
        <v>142.2</v>
      </c>
      <c r="F285" s="60">
        <f>'№6'!G531</f>
        <v>142.2</v>
      </c>
    </row>
    <row r="286" spans="1:6" ht="31.5">
      <c r="A286" s="61" t="s">
        <v>319</v>
      </c>
      <c r="B286" s="62" t="s">
        <v>241</v>
      </c>
      <c r="C286" s="62"/>
      <c r="D286" s="68" t="s">
        <v>149</v>
      </c>
      <c r="E286" s="60">
        <f>E287</f>
        <v>17055.8</v>
      </c>
      <c r="F286" s="60">
        <f>F287</f>
        <v>17055.8</v>
      </c>
    </row>
    <row r="287" spans="1:6" ht="31.5">
      <c r="A287" s="61" t="s">
        <v>319</v>
      </c>
      <c r="B287" s="62" t="s">
        <v>242</v>
      </c>
      <c r="C287" s="62"/>
      <c r="D287" s="68" t="s">
        <v>150</v>
      </c>
      <c r="E287" s="60">
        <f>E290+E292+E288+E294</f>
        <v>17055.8</v>
      </c>
      <c r="F287" s="60">
        <f aca="true" t="shared" si="121" ref="F287">F290+F292+F288+F294</f>
        <v>17055.8</v>
      </c>
    </row>
    <row r="288" spans="1:6" ht="47.25">
      <c r="A288" s="61" t="s">
        <v>319</v>
      </c>
      <c r="B288" s="69" t="s">
        <v>650</v>
      </c>
      <c r="C288" s="133"/>
      <c r="D288" s="48" t="s">
        <v>616</v>
      </c>
      <c r="E288" s="60">
        <f>E289</f>
        <v>1554.4</v>
      </c>
      <c r="F288" s="60">
        <f>F289</f>
        <v>1554.4</v>
      </c>
    </row>
    <row r="289" spans="1:6" ht="31.5">
      <c r="A289" s="61" t="s">
        <v>319</v>
      </c>
      <c r="B289" s="69" t="s">
        <v>650</v>
      </c>
      <c r="C289" s="69" t="s">
        <v>397</v>
      </c>
      <c r="D289" s="70" t="s">
        <v>398</v>
      </c>
      <c r="E289" s="60">
        <f>'№6'!F194</f>
        <v>1554.4</v>
      </c>
      <c r="F289" s="60">
        <f>'№6'!G194</f>
        <v>1554.4</v>
      </c>
    </row>
    <row r="290" spans="1:6" ht="31.5">
      <c r="A290" s="61" t="s">
        <v>319</v>
      </c>
      <c r="B290" s="62" t="s">
        <v>243</v>
      </c>
      <c r="C290" s="62"/>
      <c r="D290" s="68" t="s">
        <v>178</v>
      </c>
      <c r="E290" s="60">
        <f>E291</f>
        <v>15330.899999999998</v>
      </c>
      <c r="F290" s="60">
        <f>F291</f>
        <v>15330.9</v>
      </c>
    </row>
    <row r="291" spans="1:6" ht="31.5">
      <c r="A291" s="61" t="s">
        <v>319</v>
      </c>
      <c r="B291" s="62" t="s">
        <v>243</v>
      </c>
      <c r="C291" s="133">
        <v>600</v>
      </c>
      <c r="D291" s="48" t="s">
        <v>117</v>
      </c>
      <c r="E291" s="60">
        <f>'№6'!F197</f>
        <v>15330.899999999998</v>
      </c>
      <c r="F291" s="60">
        <f>'№6'!G197</f>
        <v>15330.9</v>
      </c>
    </row>
    <row r="292" spans="1:6" ht="31.5">
      <c r="A292" s="61" t="s">
        <v>319</v>
      </c>
      <c r="B292" s="69" t="s">
        <v>646</v>
      </c>
      <c r="C292" s="69" t="s">
        <v>93</v>
      </c>
      <c r="D292" s="70" t="s">
        <v>550</v>
      </c>
      <c r="E292" s="60">
        <f>E293</f>
        <v>41.8</v>
      </c>
      <c r="F292" s="60">
        <f>F293</f>
        <v>41.8</v>
      </c>
    </row>
    <row r="293" spans="1:6" ht="31.5">
      <c r="A293" s="61" t="s">
        <v>319</v>
      </c>
      <c r="B293" s="69" t="s">
        <v>646</v>
      </c>
      <c r="C293" s="69" t="s">
        <v>397</v>
      </c>
      <c r="D293" s="70" t="s">
        <v>398</v>
      </c>
      <c r="E293" s="60">
        <f>'№6'!F199</f>
        <v>41.8</v>
      </c>
      <c r="F293" s="60">
        <f>'№6'!G199</f>
        <v>41.8</v>
      </c>
    </row>
    <row r="294" spans="1:6" ht="47.25">
      <c r="A294" s="61" t="s">
        <v>319</v>
      </c>
      <c r="B294" s="69" t="s">
        <v>651</v>
      </c>
      <c r="C294" s="69" t="s">
        <v>93</v>
      </c>
      <c r="D294" s="48" t="s">
        <v>623</v>
      </c>
      <c r="E294" s="60">
        <f>E295</f>
        <v>128.7</v>
      </c>
      <c r="F294" s="60">
        <f>F295</f>
        <v>128.7</v>
      </c>
    </row>
    <row r="295" spans="1:6" ht="31.5">
      <c r="A295" s="61" t="s">
        <v>319</v>
      </c>
      <c r="B295" s="69" t="s">
        <v>651</v>
      </c>
      <c r="C295" s="69" t="s">
        <v>397</v>
      </c>
      <c r="D295" s="70" t="s">
        <v>398</v>
      </c>
      <c r="E295" s="60">
        <f>'№6'!F201</f>
        <v>128.7</v>
      </c>
      <c r="F295" s="60">
        <f>'№6'!G201</f>
        <v>128.7</v>
      </c>
    </row>
    <row r="296" spans="1:6" ht="47.25">
      <c r="A296" s="53" t="s">
        <v>319</v>
      </c>
      <c r="B296" s="53" t="s">
        <v>274</v>
      </c>
      <c r="C296" s="53" t="s">
        <v>93</v>
      </c>
      <c r="D296" s="54" t="s">
        <v>447</v>
      </c>
      <c r="E296" s="60">
        <f>E297</f>
        <v>14691.8</v>
      </c>
      <c r="F296" s="60">
        <f>F297</f>
        <v>14676.699999999999</v>
      </c>
    </row>
    <row r="297" spans="1:6" ht="31.5">
      <c r="A297" s="53" t="s">
        <v>319</v>
      </c>
      <c r="B297" s="53" t="s">
        <v>275</v>
      </c>
      <c r="C297" s="53" t="s">
        <v>93</v>
      </c>
      <c r="D297" s="54" t="s">
        <v>138</v>
      </c>
      <c r="E297" s="60">
        <f>E302+E304+E306+E308+E298+E300+E310</f>
        <v>14691.8</v>
      </c>
      <c r="F297" s="60">
        <f>F302+F304+F306+F308+F298+F300+F310</f>
        <v>14676.699999999999</v>
      </c>
    </row>
    <row r="298" spans="1:6" ht="63">
      <c r="A298" s="53" t="s">
        <v>319</v>
      </c>
      <c r="B298" s="53" t="s">
        <v>596</v>
      </c>
      <c r="C298" s="53" t="s">
        <v>93</v>
      </c>
      <c r="D298" s="54" t="s">
        <v>597</v>
      </c>
      <c r="E298" s="60">
        <f>E299</f>
        <v>300</v>
      </c>
      <c r="F298" s="60">
        <f>F299</f>
        <v>286.5</v>
      </c>
    </row>
    <row r="299" spans="1:6" ht="31.5">
      <c r="A299" s="53" t="s">
        <v>319</v>
      </c>
      <c r="B299" s="53" t="s">
        <v>596</v>
      </c>
      <c r="C299" s="53" t="s">
        <v>397</v>
      </c>
      <c r="D299" s="54" t="s">
        <v>398</v>
      </c>
      <c r="E299" s="60">
        <f>'№6'!F382</f>
        <v>300</v>
      </c>
      <c r="F299" s="60">
        <f>'№6'!G382</f>
        <v>286.5</v>
      </c>
    </row>
    <row r="300" spans="1:6" ht="47.25">
      <c r="A300" s="53" t="s">
        <v>319</v>
      </c>
      <c r="B300" s="53" t="s">
        <v>610</v>
      </c>
      <c r="C300" s="53" t="s">
        <v>93</v>
      </c>
      <c r="D300" s="48" t="s">
        <v>616</v>
      </c>
      <c r="E300" s="60">
        <f>E301</f>
        <v>1174</v>
      </c>
      <c r="F300" s="60">
        <f>F301</f>
        <v>1173.9</v>
      </c>
    </row>
    <row r="301" spans="1:6" ht="31.5">
      <c r="A301" s="53" t="s">
        <v>319</v>
      </c>
      <c r="B301" s="53" t="s">
        <v>610</v>
      </c>
      <c r="C301" s="53" t="s">
        <v>397</v>
      </c>
      <c r="D301" s="54" t="s">
        <v>398</v>
      </c>
      <c r="E301" s="60">
        <f>'№6'!F384</f>
        <v>1174</v>
      </c>
      <c r="F301" s="60">
        <f>'№6'!G384</f>
        <v>1173.9</v>
      </c>
    </row>
    <row r="302" spans="1:6" ht="47.25">
      <c r="A302" s="14" t="s">
        <v>319</v>
      </c>
      <c r="B302" s="14" t="s">
        <v>276</v>
      </c>
      <c r="C302" s="133"/>
      <c r="D302" s="48" t="s">
        <v>139</v>
      </c>
      <c r="E302" s="60">
        <f>E303</f>
        <v>12457</v>
      </c>
      <c r="F302" s="60">
        <f>F303</f>
        <v>12457</v>
      </c>
    </row>
    <row r="303" spans="1:6" ht="31.5">
      <c r="A303" s="14" t="s">
        <v>319</v>
      </c>
      <c r="B303" s="14" t="s">
        <v>276</v>
      </c>
      <c r="C303" s="133">
        <v>600</v>
      </c>
      <c r="D303" s="48" t="s">
        <v>117</v>
      </c>
      <c r="E303" s="60">
        <f>'№6'!F386</f>
        <v>12457</v>
      </c>
      <c r="F303" s="60">
        <f>'№6'!G386</f>
        <v>12457</v>
      </c>
    </row>
    <row r="304" spans="1:6" ht="47.25">
      <c r="A304" s="53" t="s">
        <v>319</v>
      </c>
      <c r="B304" s="53" t="s">
        <v>277</v>
      </c>
      <c r="C304" s="53" t="s">
        <v>93</v>
      </c>
      <c r="D304" s="54" t="s">
        <v>197</v>
      </c>
      <c r="E304" s="60">
        <f>E305</f>
        <v>440.7</v>
      </c>
      <c r="F304" s="60">
        <f>F305</f>
        <v>440.7</v>
      </c>
    </row>
    <row r="305" spans="1:6" ht="31.5">
      <c r="A305" s="53" t="s">
        <v>319</v>
      </c>
      <c r="B305" s="53" t="s">
        <v>277</v>
      </c>
      <c r="C305" s="53" t="s">
        <v>397</v>
      </c>
      <c r="D305" s="54" t="s">
        <v>398</v>
      </c>
      <c r="E305" s="60">
        <f>'№6'!F388</f>
        <v>440.7</v>
      </c>
      <c r="F305" s="60">
        <f>'№6'!G388</f>
        <v>440.7</v>
      </c>
    </row>
    <row r="306" spans="1:6" ht="31.5">
      <c r="A306" s="53" t="s">
        <v>319</v>
      </c>
      <c r="B306" s="53" t="s">
        <v>450</v>
      </c>
      <c r="C306" s="53" t="s">
        <v>93</v>
      </c>
      <c r="D306" s="54" t="s">
        <v>451</v>
      </c>
      <c r="E306" s="60">
        <f>E307</f>
        <v>178.9</v>
      </c>
      <c r="F306" s="60">
        <f>F307</f>
        <v>178.9</v>
      </c>
    </row>
    <row r="307" spans="1:6" ht="31.5">
      <c r="A307" s="53" t="s">
        <v>319</v>
      </c>
      <c r="B307" s="53" t="s">
        <v>450</v>
      </c>
      <c r="C307" s="53" t="s">
        <v>397</v>
      </c>
      <c r="D307" s="54" t="s">
        <v>398</v>
      </c>
      <c r="E307" s="60">
        <f>'№6'!F390</f>
        <v>178.9</v>
      </c>
      <c r="F307" s="60">
        <f>'№6'!G390</f>
        <v>178.9</v>
      </c>
    </row>
    <row r="308" spans="1:6" ht="63">
      <c r="A308" s="53" t="s">
        <v>319</v>
      </c>
      <c r="B308" s="53" t="s">
        <v>497</v>
      </c>
      <c r="C308" s="53" t="s">
        <v>93</v>
      </c>
      <c r="D308" s="54" t="s">
        <v>496</v>
      </c>
      <c r="E308" s="60">
        <f>E309</f>
        <v>33.4</v>
      </c>
      <c r="F308" s="60">
        <f>F309</f>
        <v>31.9</v>
      </c>
    </row>
    <row r="309" spans="1:6" ht="31.5">
      <c r="A309" s="53" t="s">
        <v>319</v>
      </c>
      <c r="B309" s="53" t="s">
        <v>497</v>
      </c>
      <c r="C309" s="53" t="s">
        <v>397</v>
      </c>
      <c r="D309" s="54" t="s">
        <v>398</v>
      </c>
      <c r="E309" s="60">
        <f>'№6'!F392</f>
        <v>33.4</v>
      </c>
      <c r="F309" s="60">
        <f>'№6'!G392</f>
        <v>31.9</v>
      </c>
    </row>
    <row r="310" spans="1:6" ht="47.25">
      <c r="A310" s="53" t="s">
        <v>319</v>
      </c>
      <c r="B310" s="53" t="s">
        <v>652</v>
      </c>
      <c r="C310" s="53" t="s">
        <v>93</v>
      </c>
      <c r="D310" s="48" t="s">
        <v>623</v>
      </c>
      <c r="E310" s="60">
        <f>E311</f>
        <v>107.8</v>
      </c>
      <c r="F310" s="60">
        <f>F311</f>
        <v>107.8</v>
      </c>
    </row>
    <row r="311" spans="1:6" ht="31.5">
      <c r="A311" s="53" t="s">
        <v>319</v>
      </c>
      <c r="B311" s="53" t="s">
        <v>652</v>
      </c>
      <c r="C311" s="53" t="s">
        <v>397</v>
      </c>
      <c r="D311" s="54" t="s">
        <v>398</v>
      </c>
      <c r="E311" s="60">
        <f>'№6'!F394</f>
        <v>107.8</v>
      </c>
      <c r="F311" s="60">
        <f>'№6'!G394</f>
        <v>107.8</v>
      </c>
    </row>
    <row r="312" spans="1:6" ht="12.75">
      <c r="A312" s="53" t="s">
        <v>319</v>
      </c>
      <c r="B312" s="63">
        <v>9900000000</v>
      </c>
      <c r="C312" s="78"/>
      <c r="D312" s="65" t="s">
        <v>487</v>
      </c>
      <c r="E312" s="60">
        <f>E313</f>
        <v>161.6</v>
      </c>
      <c r="F312" s="60">
        <f>F313</f>
        <v>161.6</v>
      </c>
    </row>
    <row r="313" spans="1:6" ht="31.5">
      <c r="A313" s="53" t="s">
        <v>319</v>
      </c>
      <c r="B313" s="63">
        <v>9950000000</v>
      </c>
      <c r="C313" s="15"/>
      <c r="D313" s="48" t="s">
        <v>602</v>
      </c>
      <c r="E313" s="60">
        <f>E314</f>
        <v>161.6</v>
      </c>
      <c r="F313" s="60">
        <f aca="true" t="shared" si="122" ref="F313:F314">F314</f>
        <v>161.6</v>
      </c>
    </row>
    <row r="314" spans="1:6" ht="36.75" customHeight="1">
      <c r="A314" s="53" t="s">
        <v>319</v>
      </c>
      <c r="B314" s="63" t="s">
        <v>603</v>
      </c>
      <c r="C314" s="15"/>
      <c r="D314" s="48" t="s">
        <v>604</v>
      </c>
      <c r="E314" s="60">
        <f>E315</f>
        <v>161.6</v>
      </c>
      <c r="F314" s="60">
        <f t="shared" si="122"/>
        <v>161.6</v>
      </c>
    </row>
    <row r="315" spans="1:6" ht="31.5">
      <c r="A315" s="53" t="s">
        <v>319</v>
      </c>
      <c r="B315" s="63" t="s">
        <v>603</v>
      </c>
      <c r="C315" s="133">
        <v>600</v>
      </c>
      <c r="D315" s="48" t="s">
        <v>117</v>
      </c>
      <c r="E315" s="60">
        <f>'№6'!F535+'№6'!F398</f>
        <v>161.6</v>
      </c>
      <c r="F315" s="60">
        <f>'№6'!G535+'№6'!G398</f>
        <v>161.6</v>
      </c>
    </row>
    <row r="316" spans="1:6" ht="12.75">
      <c r="A316" s="53" t="s">
        <v>63</v>
      </c>
      <c r="B316" s="53" t="s">
        <v>93</v>
      </c>
      <c r="C316" s="53" t="s">
        <v>93</v>
      </c>
      <c r="D316" s="54" t="s">
        <v>54</v>
      </c>
      <c r="E316" s="60">
        <f>E317</f>
        <v>9395.4</v>
      </c>
      <c r="F316" s="60">
        <f>F317</f>
        <v>9393.2</v>
      </c>
    </row>
    <row r="317" spans="1:6" ht="31.5">
      <c r="A317" s="53" t="s">
        <v>63</v>
      </c>
      <c r="B317" s="53" t="s">
        <v>278</v>
      </c>
      <c r="C317" s="53" t="s">
        <v>93</v>
      </c>
      <c r="D317" s="54" t="s">
        <v>383</v>
      </c>
      <c r="E317" s="60">
        <f>E318+E325+E342</f>
        <v>9395.4</v>
      </c>
      <c r="F317" s="60">
        <f>F318+F325+F342</f>
        <v>9393.2</v>
      </c>
    </row>
    <row r="318" spans="1:6" ht="31.5">
      <c r="A318" s="53" t="s">
        <v>63</v>
      </c>
      <c r="B318" s="53" t="s">
        <v>279</v>
      </c>
      <c r="C318" s="53" t="s">
        <v>93</v>
      </c>
      <c r="D318" s="54" t="s">
        <v>114</v>
      </c>
      <c r="E318" s="60">
        <f>E323+E319+E321</f>
        <v>3226.8</v>
      </c>
      <c r="F318" s="60">
        <f>F323+F319+F321</f>
        <v>3224.6</v>
      </c>
    </row>
    <row r="319" spans="1:6" ht="31.5">
      <c r="A319" s="14" t="s">
        <v>63</v>
      </c>
      <c r="B319" s="14" t="s">
        <v>561</v>
      </c>
      <c r="C319" s="133"/>
      <c r="D319" s="48" t="s">
        <v>562</v>
      </c>
      <c r="E319" s="60">
        <f>E320</f>
        <v>53.400000000000006</v>
      </c>
      <c r="F319" s="60">
        <f>F320</f>
        <v>53.3</v>
      </c>
    </row>
    <row r="320" spans="1:6" ht="12.75">
      <c r="A320" s="14" t="s">
        <v>63</v>
      </c>
      <c r="B320" s="14" t="s">
        <v>561</v>
      </c>
      <c r="C320" s="133" t="s">
        <v>100</v>
      </c>
      <c r="D320" s="48" t="s">
        <v>101</v>
      </c>
      <c r="E320" s="60">
        <f>'№6'!F541</f>
        <v>53.400000000000006</v>
      </c>
      <c r="F320" s="60">
        <f>'№6'!G541</f>
        <v>53.3</v>
      </c>
    </row>
    <row r="321" spans="1:6" ht="31.5">
      <c r="A321" s="14" t="s">
        <v>63</v>
      </c>
      <c r="B321" s="14" t="s">
        <v>560</v>
      </c>
      <c r="C321" s="133"/>
      <c r="D321" s="48" t="s">
        <v>563</v>
      </c>
      <c r="E321" s="60">
        <f>E322</f>
        <v>3012.5</v>
      </c>
      <c r="F321" s="60">
        <f>F322</f>
        <v>3012.5</v>
      </c>
    </row>
    <row r="322" spans="1:6" ht="31.5">
      <c r="A322" s="14" t="s">
        <v>63</v>
      </c>
      <c r="B322" s="14" t="s">
        <v>560</v>
      </c>
      <c r="C322" s="133">
        <v>600</v>
      </c>
      <c r="D322" s="48" t="s">
        <v>117</v>
      </c>
      <c r="E322" s="60">
        <f>'№6'!F543+'№6'!F403</f>
        <v>3012.5</v>
      </c>
      <c r="F322" s="60">
        <f>'№6'!G543+'№6'!G403</f>
        <v>3012.5</v>
      </c>
    </row>
    <row r="323" spans="1:6" ht="31.5">
      <c r="A323" s="53" t="s">
        <v>63</v>
      </c>
      <c r="B323" s="53" t="s">
        <v>475</v>
      </c>
      <c r="C323" s="53" t="s">
        <v>93</v>
      </c>
      <c r="D323" s="54" t="s">
        <v>194</v>
      </c>
      <c r="E323" s="60">
        <f>E324</f>
        <v>160.9</v>
      </c>
      <c r="F323" s="60">
        <f>F324</f>
        <v>158.8</v>
      </c>
    </row>
    <row r="324" spans="1:6" ht="12.75">
      <c r="A324" s="53" t="s">
        <v>63</v>
      </c>
      <c r="B324" s="53" t="s">
        <v>475</v>
      </c>
      <c r="C324" s="53" t="s">
        <v>100</v>
      </c>
      <c r="D324" s="54" t="s">
        <v>101</v>
      </c>
      <c r="E324" s="60">
        <f>'№6'!F545</f>
        <v>160.9</v>
      </c>
      <c r="F324" s="60">
        <f>'№6'!G545</f>
        <v>158.8</v>
      </c>
    </row>
    <row r="325" spans="1:6" ht="47.25">
      <c r="A325" s="53" t="s">
        <v>63</v>
      </c>
      <c r="B325" s="53" t="s">
        <v>280</v>
      </c>
      <c r="C325" s="53" t="s">
        <v>93</v>
      </c>
      <c r="D325" s="54" t="s">
        <v>452</v>
      </c>
      <c r="E325" s="60">
        <f>E326+E328+E330+E332+E336+E338+E340+E334</f>
        <v>5361.5</v>
      </c>
      <c r="F325" s="60">
        <f>F326+F328+F330+F332+F336+F338+F340+F334</f>
        <v>5361.5</v>
      </c>
    </row>
    <row r="326" spans="1:6" ht="12.75">
      <c r="A326" s="14" t="s">
        <v>63</v>
      </c>
      <c r="B326" s="62" t="s">
        <v>283</v>
      </c>
      <c r="C326" s="62"/>
      <c r="D326" s="68" t="s">
        <v>135</v>
      </c>
      <c r="E326" s="60">
        <f>E327</f>
        <v>4962.5</v>
      </c>
      <c r="F326" s="60">
        <f>F327</f>
        <v>4962.5</v>
      </c>
    </row>
    <row r="327" spans="1:6" ht="31.5">
      <c r="A327" s="14" t="s">
        <v>63</v>
      </c>
      <c r="B327" s="62" t="s">
        <v>283</v>
      </c>
      <c r="C327" s="133">
        <v>600</v>
      </c>
      <c r="D327" s="48" t="s">
        <v>117</v>
      </c>
      <c r="E327" s="60">
        <f>'№6'!F408</f>
        <v>4962.5</v>
      </c>
      <c r="F327" s="60">
        <f>'№6'!G408</f>
        <v>4962.5</v>
      </c>
    </row>
    <row r="328" spans="1:6" ht="12.75">
      <c r="A328" s="53" t="s">
        <v>63</v>
      </c>
      <c r="B328" s="53" t="s">
        <v>281</v>
      </c>
      <c r="C328" s="53" t="s">
        <v>93</v>
      </c>
      <c r="D328" s="54" t="s">
        <v>133</v>
      </c>
      <c r="E328" s="60">
        <f>E329</f>
        <v>19</v>
      </c>
      <c r="F328" s="60">
        <f>F329</f>
        <v>19</v>
      </c>
    </row>
    <row r="329" spans="1:6" ht="12.75">
      <c r="A329" s="53" t="s">
        <v>63</v>
      </c>
      <c r="B329" s="53" t="s">
        <v>281</v>
      </c>
      <c r="C329" s="53" t="s">
        <v>100</v>
      </c>
      <c r="D329" s="54" t="s">
        <v>101</v>
      </c>
      <c r="E329" s="60">
        <f>'№6'!F410</f>
        <v>19</v>
      </c>
      <c r="F329" s="60">
        <f>'№6'!G410</f>
        <v>19</v>
      </c>
    </row>
    <row r="330" spans="1:6" ht="31.5">
      <c r="A330" s="53" t="s">
        <v>63</v>
      </c>
      <c r="B330" s="53" t="s">
        <v>282</v>
      </c>
      <c r="C330" s="53" t="s">
        <v>93</v>
      </c>
      <c r="D330" s="54" t="s">
        <v>134</v>
      </c>
      <c r="E330" s="60">
        <f>E331</f>
        <v>13.5</v>
      </c>
      <c r="F330" s="60">
        <f>F331</f>
        <v>13.5</v>
      </c>
    </row>
    <row r="331" spans="1:6" ht="31.5">
      <c r="A331" s="53" t="s">
        <v>63</v>
      </c>
      <c r="B331" s="53" t="s">
        <v>282</v>
      </c>
      <c r="C331" s="53" t="s">
        <v>96</v>
      </c>
      <c r="D331" s="54" t="s">
        <v>329</v>
      </c>
      <c r="E331" s="60">
        <f>'№6'!F412</f>
        <v>13.5</v>
      </c>
      <c r="F331" s="60">
        <f>'№6'!G412</f>
        <v>13.5</v>
      </c>
    </row>
    <row r="332" spans="1:6" ht="12.75">
      <c r="A332" s="53" t="s">
        <v>63</v>
      </c>
      <c r="B332" s="53" t="s">
        <v>285</v>
      </c>
      <c r="C332" s="53" t="s">
        <v>93</v>
      </c>
      <c r="D332" s="54" t="s">
        <v>136</v>
      </c>
      <c r="E332" s="60">
        <f>E333</f>
        <v>47.6</v>
      </c>
      <c r="F332" s="60">
        <f>F333</f>
        <v>47.6</v>
      </c>
    </row>
    <row r="333" spans="1:6" ht="31.5">
      <c r="A333" s="53" t="s">
        <v>63</v>
      </c>
      <c r="B333" s="53" t="s">
        <v>285</v>
      </c>
      <c r="C333" s="53" t="s">
        <v>397</v>
      </c>
      <c r="D333" s="54" t="s">
        <v>398</v>
      </c>
      <c r="E333" s="60">
        <f>'№6'!F414</f>
        <v>47.6</v>
      </c>
      <c r="F333" s="60">
        <f>'№6'!G414</f>
        <v>47.6</v>
      </c>
    </row>
    <row r="334" spans="1:6" ht="31.5">
      <c r="A334" s="14" t="s">
        <v>63</v>
      </c>
      <c r="B334" s="62" t="s">
        <v>647</v>
      </c>
      <c r="C334" s="62"/>
      <c r="D334" s="68" t="s">
        <v>648</v>
      </c>
      <c r="E334" s="60">
        <f>E335</f>
        <v>196</v>
      </c>
      <c r="F334" s="60">
        <f>F335</f>
        <v>196</v>
      </c>
    </row>
    <row r="335" spans="1:6" ht="31.5">
      <c r="A335" s="14" t="s">
        <v>63</v>
      </c>
      <c r="B335" s="62" t="s">
        <v>647</v>
      </c>
      <c r="C335" s="133">
        <v>600</v>
      </c>
      <c r="D335" s="48" t="s">
        <v>117</v>
      </c>
      <c r="E335" s="60">
        <f>'№6'!F416</f>
        <v>196</v>
      </c>
      <c r="F335" s="60">
        <f>'№6'!G416</f>
        <v>196</v>
      </c>
    </row>
    <row r="336" spans="1:6" ht="18.75" customHeight="1">
      <c r="A336" s="53" t="s">
        <v>63</v>
      </c>
      <c r="B336" s="53" t="s">
        <v>309</v>
      </c>
      <c r="C336" s="53" t="s">
        <v>93</v>
      </c>
      <c r="D336" s="54" t="s">
        <v>198</v>
      </c>
      <c r="E336" s="60">
        <f>E337</f>
        <v>21.7</v>
      </c>
      <c r="F336" s="60">
        <f>F337</f>
        <v>21.7</v>
      </c>
    </row>
    <row r="337" spans="1:6" ht="31.5">
      <c r="A337" s="53" t="s">
        <v>63</v>
      </c>
      <c r="B337" s="53" t="s">
        <v>309</v>
      </c>
      <c r="C337" s="53" t="s">
        <v>96</v>
      </c>
      <c r="D337" s="54" t="s">
        <v>329</v>
      </c>
      <c r="E337" s="60">
        <f>'№6'!F418</f>
        <v>21.7</v>
      </c>
      <c r="F337" s="60">
        <f>'№6'!G418</f>
        <v>21.7</v>
      </c>
    </row>
    <row r="338" spans="1:6" ht="31.5">
      <c r="A338" s="53" t="s">
        <v>63</v>
      </c>
      <c r="B338" s="53" t="s">
        <v>456</v>
      </c>
      <c r="C338" s="53" t="s">
        <v>93</v>
      </c>
      <c r="D338" s="54" t="s">
        <v>457</v>
      </c>
      <c r="E338" s="60">
        <f>E339</f>
        <v>36</v>
      </c>
      <c r="F338" s="60">
        <f>F339</f>
        <v>36</v>
      </c>
    </row>
    <row r="339" spans="1:6" ht="12.75">
      <c r="A339" s="53" t="s">
        <v>63</v>
      </c>
      <c r="B339" s="53" t="s">
        <v>456</v>
      </c>
      <c r="C339" s="53" t="s">
        <v>100</v>
      </c>
      <c r="D339" s="54" t="s">
        <v>101</v>
      </c>
      <c r="E339" s="60">
        <f>'№6'!F420</f>
        <v>36</v>
      </c>
      <c r="F339" s="60">
        <f>'№6'!G420</f>
        <v>36</v>
      </c>
    </row>
    <row r="340" spans="1:6" ht="47.25">
      <c r="A340" s="53" t="s">
        <v>63</v>
      </c>
      <c r="B340" s="53" t="s">
        <v>460</v>
      </c>
      <c r="C340" s="53" t="s">
        <v>93</v>
      </c>
      <c r="D340" s="54" t="s">
        <v>137</v>
      </c>
      <c r="E340" s="60">
        <f>E341</f>
        <v>65.2</v>
      </c>
      <c r="F340" s="60">
        <f>F341</f>
        <v>65.2</v>
      </c>
    </row>
    <row r="341" spans="1:6" ht="31.5">
      <c r="A341" s="53" t="s">
        <v>63</v>
      </c>
      <c r="B341" s="53" t="s">
        <v>460</v>
      </c>
      <c r="C341" s="53" t="s">
        <v>397</v>
      </c>
      <c r="D341" s="54" t="s">
        <v>398</v>
      </c>
      <c r="E341" s="60">
        <f>'№6'!F423</f>
        <v>65.2</v>
      </c>
      <c r="F341" s="60">
        <f>'№6'!G423</f>
        <v>65.2</v>
      </c>
    </row>
    <row r="342" spans="1:6" ht="66" customHeight="1">
      <c r="A342" s="53" t="s">
        <v>63</v>
      </c>
      <c r="B342" s="53" t="s">
        <v>384</v>
      </c>
      <c r="C342" s="53" t="s">
        <v>93</v>
      </c>
      <c r="D342" s="54" t="s">
        <v>385</v>
      </c>
      <c r="E342" s="60">
        <f>E343</f>
        <v>807.0999999999999</v>
      </c>
      <c r="F342" s="60">
        <f>F343</f>
        <v>807.1</v>
      </c>
    </row>
    <row r="343" spans="1:6" ht="78.75">
      <c r="A343" s="53" t="s">
        <v>63</v>
      </c>
      <c r="B343" s="53" t="s">
        <v>387</v>
      </c>
      <c r="C343" s="53" t="s">
        <v>93</v>
      </c>
      <c r="D343" s="54" t="s">
        <v>388</v>
      </c>
      <c r="E343" s="60">
        <f>E344</f>
        <v>807.0999999999999</v>
      </c>
      <c r="F343" s="60">
        <f>F344</f>
        <v>807.1</v>
      </c>
    </row>
    <row r="344" spans="1:6" ht="31.5">
      <c r="A344" s="53" t="s">
        <v>63</v>
      </c>
      <c r="B344" s="53" t="s">
        <v>387</v>
      </c>
      <c r="C344" s="53" t="s">
        <v>96</v>
      </c>
      <c r="D344" s="54" t="s">
        <v>329</v>
      </c>
      <c r="E344" s="60">
        <f>'№6'!F207</f>
        <v>807.0999999999999</v>
      </c>
      <c r="F344" s="60">
        <f>'№6'!G207</f>
        <v>807.1</v>
      </c>
    </row>
    <row r="345" spans="1:6" ht="12.75">
      <c r="A345" s="53" t="s">
        <v>79</v>
      </c>
      <c r="B345" s="53" t="s">
        <v>93</v>
      </c>
      <c r="C345" s="53" t="s">
        <v>93</v>
      </c>
      <c r="D345" s="54" t="s">
        <v>17</v>
      </c>
      <c r="E345" s="60">
        <f>E346</f>
        <v>14004.699999999997</v>
      </c>
      <c r="F345" s="60">
        <f aca="true" t="shared" si="123" ref="F345:F346">F346</f>
        <v>13975.099999999999</v>
      </c>
    </row>
    <row r="346" spans="1:6" ht="31.5">
      <c r="A346" s="53" t="s">
        <v>79</v>
      </c>
      <c r="B346" s="53" t="s">
        <v>278</v>
      </c>
      <c r="C346" s="53" t="s">
        <v>93</v>
      </c>
      <c r="D346" s="54" t="s">
        <v>383</v>
      </c>
      <c r="E346" s="60">
        <f>E347</f>
        <v>14004.699999999997</v>
      </c>
      <c r="F346" s="60">
        <f t="shared" si="123"/>
        <v>13975.099999999999</v>
      </c>
    </row>
    <row r="347" spans="1:6" ht="12.75">
      <c r="A347" s="53" t="s">
        <v>79</v>
      </c>
      <c r="B347" s="53" t="s">
        <v>302</v>
      </c>
      <c r="C347" s="53" t="s">
        <v>93</v>
      </c>
      <c r="D347" s="54" t="s">
        <v>2</v>
      </c>
      <c r="E347" s="60">
        <f>E348+E353+E357</f>
        <v>14004.699999999997</v>
      </c>
      <c r="F347" s="60">
        <f aca="true" t="shared" si="124" ref="F347">F348+F353+F357</f>
        <v>13975.099999999999</v>
      </c>
    </row>
    <row r="348" spans="1:6" ht="47.25">
      <c r="A348" s="53" t="s">
        <v>79</v>
      </c>
      <c r="B348" s="53" t="s">
        <v>304</v>
      </c>
      <c r="C348" s="53" t="s">
        <v>93</v>
      </c>
      <c r="D348" s="54" t="s">
        <v>123</v>
      </c>
      <c r="E348" s="60">
        <f>E349+E350+E352+E351</f>
        <v>8499.899999999998</v>
      </c>
      <c r="F348" s="60">
        <f aca="true" t="shared" si="125" ref="F348">F349+F350+F352+F351</f>
        <v>8470.3</v>
      </c>
    </row>
    <row r="349" spans="1:6" ht="63">
      <c r="A349" s="53" t="s">
        <v>79</v>
      </c>
      <c r="B349" s="53" t="s">
        <v>304</v>
      </c>
      <c r="C349" s="53" t="s">
        <v>95</v>
      </c>
      <c r="D349" s="54" t="s">
        <v>3</v>
      </c>
      <c r="E349" s="60">
        <f>'№6'!F551</f>
        <v>6418.9</v>
      </c>
      <c r="F349" s="60">
        <f>'№6'!G551</f>
        <v>6389.3</v>
      </c>
    </row>
    <row r="350" spans="1:6" ht="31.5">
      <c r="A350" s="53" t="s">
        <v>79</v>
      </c>
      <c r="B350" s="53" t="s">
        <v>304</v>
      </c>
      <c r="C350" s="53" t="s">
        <v>96</v>
      </c>
      <c r="D350" s="54" t="s">
        <v>329</v>
      </c>
      <c r="E350" s="60">
        <f>'№6'!F552</f>
        <v>1940.8</v>
      </c>
      <c r="F350" s="60">
        <f>'№6'!G552</f>
        <v>1940.8</v>
      </c>
    </row>
    <row r="351" spans="1:6" ht="12.75">
      <c r="A351" s="53" t="s">
        <v>79</v>
      </c>
      <c r="B351" s="53" t="s">
        <v>304</v>
      </c>
      <c r="C351" s="53" t="s">
        <v>100</v>
      </c>
      <c r="D351" s="54" t="s">
        <v>101</v>
      </c>
      <c r="E351" s="60">
        <f>'№6'!F553</f>
        <v>111.3</v>
      </c>
      <c r="F351" s="60">
        <f>'№6'!G553</f>
        <v>111.3</v>
      </c>
    </row>
    <row r="352" spans="1:6" ht="12.75">
      <c r="A352" s="53" t="s">
        <v>79</v>
      </c>
      <c r="B352" s="53" t="s">
        <v>304</v>
      </c>
      <c r="C352" s="53" t="s">
        <v>97</v>
      </c>
      <c r="D352" s="54" t="s">
        <v>98</v>
      </c>
      <c r="E352" s="60">
        <f>'№6'!F554</f>
        <v>28.900000000000013</v>
      </c>
      <c r="F352" s="60">
        <f>'№6'!G554</f>
        <v>28.9</v>
      </c>
    </row>
    <row r="353" spans="1:6" ht="47.25">
      <c r="A353" s="53" t="s">
        <v>79</v>
      </c>
      <c r="B353" s="53" t="s">
        <v>305</v>
      </c>
      <c r="C353" s="53" t="s">
        <v>93</v>
      </c>
      <c r="D353" s="54" t="s">
        <v>124</v>
      </c>
      <c r="E353" s="60">
        <f>E354+E355+E356</f>
        <v>3522.9</v>
      </c>
      <c r="F353" s="60">
        <f aca="true" t="shared" si="126" ref="F353">F354+F355+F356</f>
        <v>3522.9</v>
      </c>
    </row>
    <row r="354" spans="1:6" ht="63">
      <c r="A354" s="53" t="s">
        <v>79</v>
      </c>
      <c r="B354" s="53" t="s">
        <v>305</v>
      </c>
      <c r="C354" s="53" t="s">
        <v>95</v>
      </c>
      <c r="D354" s="54" t="s">
        <v>3</v>
      </c>
      <c r="E354" s="60">
        <f>'№6'!F556</f>
        <v>2756.5</v>
      </c>
      <c r="F354" s="60">
        <f>'№6'!G556</f>
        <v>2756.5</v>
      </c>
    </row>
    <row r="355" spans="1:6" ht="31.5">
      <c r="A355" s="53" t="s">
        <v>79</v>
      </c>
      <c r="B355" s="53" t="s">
        <v>305</v>
      </c>
      <c r="C355" s="53" t="s">
        <v>96</v>
      </c>
      <c r="D355" s="54" t="s">
        <v>329</v>
      </c>
      <c r="E355" s="60">
        <f>'№6'!F557</f>
        <v>765.6</v>
      </c>
      <c r="F355" s="60">
        <f>'№6'!G557</f>
        <v>765.6</v>
      </c>
    </row>
    <row r="356" spans="1:6" ht="12.75">
      <c r="A356" s="53" t="s">
        <v>79</v>
      </c>
      <c r="B356" s="53" t="s">
        <v>305</v>
      </c>
      <c r="C356" s="53" t="s">
        <v>97</v>
      </c>
      <c r="D356" s="54" t="s">
        <v>98</v>
      </c>
      <c r="E356" s="60">
        <f>'№6'!F558</f>
        <v>0.8</v>
      </c>
      <c r="F356" s="60">
        <f>'№6'!G558</f>
        <v>0.8</v>
      </c>
    </row>
    <row r="357" spans="1:6" ht="63">
      <c r="A357" s="53" t="s">
        <v>79</v>
      </c>
      <c r="B357" s="53" t="s">
        <v>303</v>
      </c>
      <c r="C357" s="53" t="s">
        <v>93</v>
      </c>
      <c r="D357" s="54" t="s">
        <v>330</v>
      </c>
      <c r="E357" s="60">
        <f>E358</f>
        <v>1981.9</v>
      </c>
      <c r="F357" s="60">
        <f aca="true" t="shared" si="127" ref="F357">F358</f>
        <v>1981.9</v>
      </c>
    </row>
    <row r="358" spans="1:6" ht="63">
      <c r="A358" s="53" t="s">
        <v>79</v>
      </c>
      <c r="B358" s="53" t="s">
        <v>303</v>
      </c>
      <c r="C358" s="53" t="s">
        <v>95</v>
      </c>
      <c r="D358" s="54" t="s">
        <v>3</v>
      </c>
      <c r="E358" s="60">
        <f>'№6'!F560</f>
        <v>1981.9</v>
      </c>
      <c r="F358" s="60">
        <f>'№6'!G560</f>
        <v>1981.9</v>
      </c>
    </row>
    <row r="359" spans="1:6" ht="12.75">
      <c r="A359" s="55" t="s">
        <v>66</v>
      </c>
      <c r="B359" s="55" t="s">
        <v>93</v>
      </c>
      <c r="C359" s="55" t="s">
        <v>93</v>
      </c>
      <c r="D359" s="44" t="s">
        <v>111</v>
      </c>
      <c r="E359" s="57">
        <f>E360</f>
        <v>27502.999999999993</v>
      </c>
      <c r="F359" s="57">
        <f aca="true" t="shared" si="128" ref="F359">F360</f>
        <v>27368.1</v>
      </c>
    </row>
    <row r="360" spans="1:6" ht="12.75">
      <c r="A360" s="53" t="s">
        <v>67</v>
      </c>
      <c r="B360" s="53" t="s">
        <v>93</v>
      </c>
      <c r="C360" s="53" t="s">
        <v>93</v>
      </c>
      <c r="D360" s="54" t="s">
        <v>18</v>
      </c>
      <c r="E360" s="60">
        <f>E361+E397</f>
        <v>27502.999999999993</v>
      </c>
      <c r="F360" s="60">
        <f>F361+F397</f>
        <v>27368.1</v>
      </c>
    </row>
    <row r="361" spans="1:6" ht="31.5">
      <c r="A361" s="53" t="s">
        <v>67</v>
      </c>
      <c r="B361" s="53" t="s">
        <v>241</v>
      </c>
      <c r="C361" s="53" t="s">
        <v>93</v>
      </c>
      <c r="D361" s="54" t="s">
        <v>389</v>
      </c>
      <c r="E361" s="60">
        <f>E362</f>
        <v>26933.399999999994</v>
      </c>
      <c r="F361" s="60">
        <f>F362</f>
        <v>26798.5</v>
      </c>
    </row>
    <row r="362" spans="1:6" ht="31.5">
      <c r="A362" s="53" t="s">
        <v>67</v>
      </c>
      <c r="B362" s="53" t="s">
        <v>242</v>
      </c>
      <c r="C362" s="53" t="s">
        <v>93</v>
      </c>
      <c r="D362" s="54" t="s">
        <v>150</v>
      </c>
      <c r="E362" s="60">
        <f>E365+E369+E371+E383+E395+E385+E387+E391+E363+E375+E381+E393+E379+E377+E389+E367</f>
        <v>26933.399999999994</v>
      </c>
      <c r="F362" s="60">
        <f>F365+F369+F371+F383+F395+F385+F387+F391+F363+F375+F381+F393+F379+F377+F389+F367</f>
        <v>26798.5</v>
      </c>
    </row>
    <row r="363" spans="1:6" ht="47.25">
      <c r="A363" s="53" t="s">
        <v>67</v>
      </c>
      <c r="B363" s="53" t="s">
        <v>612</v>
      </c>
      <c r="C363" s="58"/>
      <c r="D363" s="54" t="s">
        <v>617</v>
      </c>
      <c r="E363" s="60">
        <f>E364</f>
        <v>1934.1</v>
      </c>
      <c r="F363" s="60">
        <f>F364</f>
        <v>1813</v>
      </c>
    </row>
    <row r="364" spans="1:6" ht="63">
      <c r="A364" s="53" t="s">
        <v>67</v>
      </c>
      <c r="B364" s="53" t="s">
        <v>612</v>
      </c>
      <c r="C364" s="53" t="s">
        <v>95</v>
      </c>
      <c r="D364" s="54" t="s">
        <v>3</v>
      </c>
      <c r="E364" s="60">
        <f>'№6'!F214</f>
        <v>1934.1</v>
      </c>
      <c r="F364" s="60">
        <f>'№6'!G214</f>
        <v>1813</v>
      </c>
    </row>
    <row r="365" spans="1:6" ht="31.5">
      <c r="A365" s="53" t="s">
        <v>67</v>
      </c>
      <c r="B365" s="53" t="s">
        <v>246</v>
      </c>
      <c r="C365" s="53" t="s">
        <v>93</v>
      </c>
      <c r="D365" s="54" t="s">
        <v>392</v>
      </c>
      <c r="E365" s="60">
        <f>E366</f>
        <v>155.1</v>
      </c>
      <c r="F365" s="60">
        <f>F366</f>
        <v>155.1</v>
      </c>
    </row>
    <row r="366" spans="1:6" ht="31.5">
      <c r="A366" s="53" t="s">
        <v>67</v>
      </c>
      <c r="B366" s="53" t="s">
        <v>246</v>
      </c>
      <c r="C366" s="53" t="s">
        <v>96</v>
      </c>
      <c r="D366" s="54" t="s">
        <v>329</v>
      </c>
      <c r="E366" s="60">
        <f>'№6'!F216</f>
        <v>155.1</v>
      </c>
      <c r="F366" s="60">
        <f>'№6'!G216</f>
        <v>155.1</v>
      </c>
    </row>
    <row r="367" spans="1:6" ht="31.5">
      <c r="A367" s="53" t="s">
        <v>67</v>
      </c>
      <c r="B367" s="53" t="s">
        <v>681</v>
      </c>
      <c r="C367" s="53" t="s">
        <v>93</v>
      </c>
      <c r="D367" s="54" t="s">
        <v>682</v>
      </c>
      <c r="E367" s="60">
        <f>E368</f>
        <v>154.1</v>
      </c>
      <c r="F367" s="60">
        <f>F368</f>
        <v>154.1</v>
      </c>
    </row>
    <row r="368" spans="1:6" ht="31.5">
      <c r="A368" s="53" t="s">
        <v>67</v>
      </c>
      <c r="B368" s="53" t="s">
        <v>681</v>
      </c>
      <c r="C368" s="53" t="s">
        <v>96</v>
      </c>
      <c r="D368" s="54" t="s">
        <v>329</v>
      </c>
      <c r="E368" s="60">
        <f>'№6'!F218</f>
        <v>154.1</v>
      </c>
      <c r="F368" s="60">
        <f>'№6'!G218</f>
        <v>154.1</v>
      </c>
    </row>
    <row r="369" spans="1:6" ht="31.5">
      <c r="A369" s="53" t="s">
        <v>67</v>
      </c>
      <c r="B369" s="53" t="s">
        <v>307</v>
      </c>
      <c r="C369" s="53" t="s">
        <v>93</v>
      </c>
      <c r="D369" s="54" t="s">
        <v>151</v>
      </c>
      <c r="E369" s="60">
        <f>E370</f>
        <v>85.30000000000001</v>
      </c>
      <c r="F369" s="60">
        <f>F370</f>
        <v>85.1</v>
      </c>
    </row>
    <row r="370" spans="1:6" ht="31.5">
      <c r="A370" s="53" t="s">
        <v>67</v>
      </c>
      <c r="B370" s="53" t="s">
        <v>307</v>
      </c>
      <c r="C370" s="53" t="s">
        <v>96</v>
      </c>
      <c r="D370" s="54" t="s">
        <v>329</v>
      </c>
      <c r="E370" s="60">
        <f>'№6'!F220</f>
        <v>85.30000000000001</v>
      </c>
      <c r="F370" s="60">
        <f>'№6'!G220</f>
        <v>85.1</v>
      </c>
    </row>
    <row r="371" spans="1:6" ht="12.75">
      <c r="A371" s="53" t="s">
        <v>67</v>
      </c>
      <c r="B371" s="53" t="s">
        <v>247</v>
      </c>
      <c r="C371" s="53" t="s">
        <v>93</v>
      </c>
      <c r="D371" s="54" t="s">
        <v>393</v>
      </c>
      <c r="E371" s="60">
        <f>E372+E373+E374</f>
        <v>8768.099999999999</v>
      </c>
      <c r="F371" s="60">
        <f>F372+F373+F374</f>
        <v>8754.5</v>
      </c>
    </row>
    <row r="372" spans="1:6" ht="63">
      <c r="A372" s="53" t="s">
        <v>67</v>
      </c>
      <c r="B372" s="53" t="s">
        <v>247</v>
      </c>
      <c r="C372" s="53" t="s">
        <v>95</v>
      </c>
      <c r="D372" s="54" t="s">
        <v>3</v>
      </c>
      <c r="E372" s="60">
        <f>'№6'!F222</f>
        <v>7073.5</v>
      </c>
      <c r="F372" s="60">
        <f>'№6'!G222</f>
        <v>7064.7</v>
      </c>
    </row>
    <row r="373" spans="1:6" ht="31.5">
      <c r="A373" s="53" t="s">
        <v>67</v>
      </c>
      <c r="B373" s="53" t="s">
        <v>247</v>
      </c>
      <c r="C373" s="53" t="s">
        <v>96</v>
      </c>
      <c r="D373" s="54" t="s">
        <v>329</v>
      </c>
      <c r="E373" s="60">
        <f>'№6'!F223</f>
        <v>1603.8</v>
      </c>
      <c r="F373" s="60">
        <f>'№6'!G223</f>
        <v>1599.8</v>
      </c>
    </row>
    <row r="374" spans="1:6" ht="12.75">
      <c r="A374" s="53" t="s">
        <v>67</v>
      </c>
      <c r="B374" s="53" t="s">
        <v>247</v>
      </c>
      <c r="C374" s="53" t="s">
        <v>97</v>
      </c>
      <c r="D374" s="54" t="s">
        <v>98</v>
      </c>
      <c r="E374" s="60">
        <f>'№6'!F224</f>
        <v>90.80000000000001</v>
      </c>
      <c r="F374" s="60">
        <f>'№6'!G224</f>
        <v>90</v>
      </c>
    </row>
    <row r="375" spans="1:6" ht="35.25" customHeight="1">
      <c r="A375" s="69" t="s">
        <v>67</v>
      </c>
      <c r="B375" s="69" t="s">
        <v>613</v>
      </c>
      <c r="C375" s="69"/>
      <c r="D375" s="54" t="s">
        <v>624</v>
      </c>
      <c r="E375" s="60">
        <f>E376</f>
        <v>19.3</v>
      </c>
      <c r="F375" s="60">
        <f>F376</f>
        <v>19.3</v>
      </c>
    </row>
    <row r="376" spans="1:6" ht="63">
      <c r="A376" s="69" t="s">
        <v>67</v>
      </c>
      <c r="B376" s="69" t="s">
        <v>613</v>
      </c>
      <c r="C376" s="53" t="s">
        <v>95</v>
      </c>
      <c r="D376" s="54" t="s">
        <v>3</v>
      </c>
      <c r="E376" s="60">
        <f>'№6'!F226</f>
        <v>19.3</v>
      </c>
      <c r="F376" s="60">
        <f>'№6'!G226</f>
        <v>19.3</v>
      </c>
    </row>
    <row r="377" spans="1:6" ht="47.25">
      <c r="A377" s="69" t="s">
        <v>67</v>
      </c>
      <c r="B377" s="69" t="s">
        <v>621</v>
      </c>
      <c r="C377" s="69" t="s">
        <v>93</v>
      </c>
      <c r="D377" s="54" t="s">
        <v>622</v>
      </c>
      <c r="E377" s="60">
        <f>E378</f>
        <v>70</v>
      </c>
      <c r="F377" s="60">
        <f>F378</f>
        <v>70</v>
      </c>
    </row>
    <row r="378" spans="1:6" ht="31.5">
      <c r="A378" s="69" t="s">
        <v>67</v>
      </c>
      <c r="B378" s="69" t="s">
        <v>621</v>
      </c>
      <c r="C378" s="53" t="s">
        <v>96</v>
      </c>
      <c r="D378" s="54" t="s">
        <v>329</v>
      </c>
      <c r="E378" s="60">
        <f>'№6'!F228</f>
        <v>70</v>
      </c>
      <c r="F378" s="60">
        <f>'№6'!G228</f>
        <v>70</v>
      </c>
    </row>
    <row r="379" spans="1:6" ht="47.25">
      <c r="A379" s="61" t="s">
        <v>67</v>
      </c>
      <c r="B379" s="62" t="s">
        <v>619</v>
      </c>
      <c r="C379" s="133"/>
      <c r="D379" s="68" t="s">
        <v>620</v>
      </c>
      <c r="E379" s="60">
        <f>E380</f>
        <v>99</v>
      </c>
      <c r="F379" s="60">
        <f>F380</f>
        <v>99</v>
      </c>
    </row>
    <row r="380" spans="1:6" ht="31.5">
      <c r="A380" s="61" t="s">
        <v>67</v>
      </c>
      <c r="B380" s="62" t="s">
        <v>619</v>
      </c>
      <c r="C380" s="133">
        <v>600</v>
      </c>
      <c r="D380" s="48" t="s">
        <v>117</v>
      </c>
      <c r="E380" s="60">
        <f>'№6'!F231</f>
        <v>99</v>
      </c>
      <c r="F380" s="60">
        <f>'№6'!G231</f>
        <v>99</v>
      </c>
    </row>
    <row r="381" spans="1:6" ht="34.5" customHeight="1">
      <c r="A381" s="61" t="s">
        <v>67</v>
      </c>
      <c r="B381" s="62" t="s">
        <v>614</v>
      </c>
      <c r="C381" s="133"/>
      <c r="D381" s="54" t="s">
        <v>617</v>
      </c>
      <c r="E381" s="60">
        <f>E382</f>
        <v>1469.2</v>
      </c>
      <c r="F381" s="60">
        <f>F382</f>
        <v>1469.2</v>
      </c>
    </row>
    <row r="382" spans="1:6" ht="31.5">
      <c r="A382" s="61" t="s">
        <v>67</v>
      </c>
      <c r="B382" s="62" t="s">
        <v>614</v>
      </c>
      <c r="C382" s="133">
        <v>600</v>
      </c>
      <c r="D382" s="48" t="s">
        <v>117</v>
      </c>
      <c r="E382" s="60">
        <f>'№6'!F233</f>
        <v>1469.2</v>
      </c>
      <c r="F382" s="60">
        <f>'№6'!G233</f>
        <v>1469.2</v>
      </c>
    </row>
    <row r="383" spans="1:6" ht="31.5">
      <c r="A383" s="61" t="s">
        <v>67</v>
      </c>
      <c r="B383" s="62" t="s">
        <v>244</v>
      </c>
      <c r="C383" s="62"/>
      <c r="D383" s="68" t="s">
        <v>152</v>
      </c>
      <c r="E383" s="60">
        <f>E384</f>
        <v>13320.099999999999</v>
      </c>
      <c r="F383" s="60">
        <f>F384</f>
        <v>13320.1</v>
      </c>
    </row>
    <row r="384" spans="1:6" ht="31.5">
      <c r="A384" s="61" t="s">
        <v>67</v>
      </c>
      <c r="B384" s="62" t="s">
        <v>244</v>
      </c>
      <c r="C384" s="133">
        <v>600</v>
      </c>
      <c r="D384" s="48" t="s">
        <v>117</v>
      </c>
      <c r="E384" s="60">
        <f>'№6'!F235</f>
        <v>13320.099999999999</v>
      </c>
      <c r="F384" s="60">
        <f>'№6'!G235</f>
        <v>13320.1</v>
      </c>
    </row>
    <row r="385" spans="1:6" ht="47.25">
      <c r="A385" s="61" t="s">
        <v>67</v>
      </c>
      <c r="B385" s="62" t="s">
        <v>544</v>
      </c>
      <c r="C385" s="133"/>
      <c r="D385" s="68" t="s">
        <v>545</v>
      </c>
      <c r="E385" s="60">
        <f>E386</f>
        <v>527</v>
      </c>
      <c r="F385" s="60">
        <f>F386</f>
        <v>527</v>
      </c>
    </row>
    <row r="386" spans="1:6" ht="31.5">
      <c r="A386" s="61" t="s">
        <v>67</v>
      </c>
      <c r="B386" s="62" t="s">
        <v>544</v>
      </c>
      <c r="C386" s="133">
        <v>600</v>
      </c>
      <c r="D386" s="48" t="s">
        <v>117</v>
      </c>
      <c r="E386" s="60">
        <f>'№6'!F237</f>
        <v>527</v>
      </c>
      <c r="F386" s="60">
        <f>'№6'!G237</f>
        <v>527</v>
      </c>
    </row>
    <row r="387" spans="1:6" ht="31.5">
      <c r="A387" s="61" t="s">
        <v>67</v>
      </c>
      <c r="B387" s="62" t="s">
        <v>546</v>
      </c>
      <c r="C387" s="133"/>
      <c r="D387" s="68" t="s">
        <v>547</v>
      </c>
      <c r="E387" s="60">
        <f>E388</f>
        <v>32</v>
      </c>
      <c r="F387" s="60">
        <f>F388</f>
        <v>32</v>
      </c>
    </row>
    <row r="388" spans="1:6" ht="31.5">
      <c r="A388" s="160" t="s">
        <v>67</v>
      </c>
      <c r="B388" s="62" t="s">
        <v>546</v>
      </c>
      <c r="C388" s="133">
        <v>600</v>
      </c>
      <c r="D388" s="48" t="s">
        <v>117</v>
      </c>
      <c r="E388" s="60">
        <f>'№6'!F239</f>
        <v>32</v>
      </c>
      <c r="F388" s="60">
        <f>'№6'!G239</f>
        <v>32</v>
      </c>
    </row>
    <row r="389" spans="1:6" ht="49.5" customHeight="1">
      <c r="A389" s="61" t="s">
        <v>67</v>
      </c>
      <c r="B389" s="62" t="s">
        <v>654</v>
      </c>
      <c r="C389" s="133"/>
      <c r="D389" s="68" t="s">
        <v>655</v>
      </c>
      <c r="E389" s="60">
        <f>E390</f>
        <v>252.3</v>
      </c>
      <c r="F389" s="60">
        <f>F390</f>
        <v>252.3</v>
      </c>
    </row>
    <row r="390" spans="1:6" ht="31.5">
      <c r="A390" s="61" t="s">
        <v>67</v>
      </c>
      <c r="B390" s="62" t="s">
        <v>654</v>
      </c>
      <c r="C390" s="76">
        <v>600</v>
      </c>
      <c r="D390" s="48" t="s">
        <v>117</v>
      </c>
      <c r="E390" s="60">
        <f>'№6'!F241</f>
        <v>252.3</v>
      </c>
      <c r="F390" s="60">
        <f>'№6'!G241</f>
        <v>252.3</v>
      </c>
    </row>
    <row r="391" spans="1:6" ht="31.5">
      <c r="A391" s="161" t="s">
        <v>67</v>
      </c>
      <c r="B391" s="62" t="s">
        <v>548</v>
      </c>
      <c r="C391" s="133"/>
      <c r="D391" s="68" t="s">
        <v>549</v>
      </c>
      <c r="E391" s="60">
        <f>E392</f>
        <v>1</v>
      </c>
      <c r="F391" s="60">
        <f>F392</f>
        <v>1</v>
      </c>
    </row>
    <row r="392" spans="1:6" ht="31.5">
      <c r="A392" s="160" t="s">
        <v>67</v>
      </c>
      <c r="B392" s="62" t="s">
        <v>548</v>
      </c>
      <c r="C392" s="133">
        <v>600</v>
      </c>
      <c r="D392" s="48" t="s">
        <v>117</v>
      </c>
      <c r="E392" s="60">
        <f>'№6'!F243</f>
        <v>1</v>
      </c>
      <c r="F392" s="60">
        <f>'№6'!G243</f>
        <v>1</v>
      </c>
    </row>
    <row r="393" spans="1:6" ht="47.25">
      <c r="A393" s="61" t="s">
        <v>67</v>
      </c>
      <c r="B393" s="62" t="s">
        <v>615</v>
      </c>
      <c r="C393" s="76"/>
      <c r="D393" s="54" t="s">
        <v>624</v>
      </c>
      <c r="E393" s="60">
        <f>E394</f>
        <v>14.7</v>
      </c>
      <c r="F393" s="60">
        <f>F394</f>
        <v>14.7</v>
      </c>
    </row>
    <row r="394" spans="1:6" ht="31.5">
      <c r="A394" s="61" t="s">
        <v>67</v>
      </c>
      <c r="B394" s="62" t="s">
        <v>615</v>
      </c>
      <c r="C394" s="76">
        <v>600</v>
      </c>
      <c r="D394" s="48" t="s">
        <v>117</v>
      </c>
      <c r="E394" s="60">
        <f>'№6'!F245</f>
        <v>14.7</v>
      </c>
      <c r="F394" s="60">
        <f>'№6'!G245</f>
        <v>14.7</v>
      </c>
    </row>
    <row r="395" spans="1:6" ht="47.25">
      <c r="A395" s="53" t="s">
        <v>67</v>
      </c>
      <c r="B395" s="53" t="s">
        <v>245</v>
      </c>
      <c r="C395" s="53" t="s">
        <v>93</v>
      </c>
      <c r="D395" s="54" t="s">
        <v>396</v>
      </c>
      <c r="E395" s="60">
        <f>E396</f>
        <v>32.1</v>
      </c>
      <c r="F395" s="60">
        <f>F396</f>
        <v>32.1</v>
      </c>
    </row>
    <row r="396" spans="1:6" ht="31.5">
      <c r="A396" s="53" t="s">
        <v>67</v>
      </c>
      <c r="B396" s="53" t="s">
        <v>245</v>
      </c>
      <c r="C396" s="53" t="s">
        <v>397</v>
      </c>
      <c r="D396" s="54" t="s">
        <v>398</v>
      </c>
      <c r="E396" s="60">
        <f>'№6'!F248</f>
        <v>32.1</v>
      </c>
      <c r="F396" s="60">
        <f>'№6'!G248</f>
        <v>32.1</v>
      </c>
    </row>
    <row r="397" spans="1:6" ht="12.75">
      <c r="A397" s="69" t="s">
        <v>67</v>
      </c>
      <c r="B397" s="63">
        <v>9900000000</v>
      </c>
      <c r="C397" s="78"/>
      <c r="D397" s="65" t="s">
        <v>487</v>
      </c>
      <c r="E397" s="60">
        <f>E398</f>
        <v>569.6</v>
      </c>
      <c r="F397" s="60">
        <f>F398</f>
        <v>569.6</v>
      </c>
    </row>
    <row r="398" spans="1:6" ht="31.5">
      <c r="A398" s="69" t="s">
        <v>67</v>
      </c>
      <c r="B398" s="63">
        <v>9950000000</v>
      </c>
      <c r="C398" s="15"/>
      <c r="D398" s="48" t="s">
        <v>602</v>
      </c>
      <c r="E398" s="60">
        <f>E399</f>
        <v>569.6</v>
      </c>
      <c r="F398" s="60">
        <f>F399</f>
        <v>569.6</v>
      </c>
    </row>
    <row r="399" spans="1:6" ht="31.5" customHeight="1">
      <c r="A399" s="77" t="s">
        <v>67</v>
      </c>
      <c r="B399" s="63" t="s">
        <v>603</v>
      </c>
      <c r="C399" s="15"/>
      <c r="D399" s="48" t="s">
        <v>604</v>
      </c>
      <c r="E399" s="60">
        <f>E400+E401</f>
        <v>569.6</v>
      </c>
      <c r="F399" s="60">
        <f>F400+F401</f>
        <v>569.6</v>
      </c>
    </row>
    <row r="400" spans="1:6" ht="31.5">
      <c r="A400" s="77" t="s">
        <v>67</v>
      </c>
      <c r="B400" s="63" t="s">
        <v>603</v>
      </c>
      <c r="C400" s="53" t="s">
        <v>96</v>
      </c>
      <c r="D400" s="54" t="s">
        <v>329</v>
      </c>
      <c r="E400" s="60">
        <f>'№6'!F252</f>
        <v>30</v>
      </c>
      <c r="F400" s="60">
        <f>'№6'!G252</f>
        <v>30</v>
      </c>
    </row>
    <row r="401" spans="1:6" ht="31.5">
      <c r="A401" s="77" t="s">
        <v>67</v>
      </c>
      <c r="B401" s="63" t="s">
        <v>603</v>
      </c>
      <c r="C401" s="133">
        <v>600</v>
      </c>
      <c r="D401" s="48" t="s">
        <v>117</v>
      </c>
      <c r="E401" s="60">
        <f>'№6'!F253</f>
        <v>539.6</v>
      </c>
      <c r="F401" s="60">
        <f>'№6'!G253</f>
        <v>539.6</v>
      </c>
    </row>
    <row r="402" spans="1:6" ht="12.75">
      <c r="A402" s="55" t="s">
        <v>64</v>
      </c>
      <c r="B402" s="55" t="s">
        <v>93</v>
      </c>
      <c r="C402" s="55" t="s">
        <v>93</v>
      </c>
      <c r="D402" s="44" t="s">
        <v>56</v>
      </c>
      <c r="E402" s="57">
        <f>E403+E409+E426</f>
        <v>19970.4</v>
      </c>
      <c r="F402" s="57">
        <f aca="true" t="shared" si="129" ref="F402">F403+F409+F426</f>
        <v>19833.5</v>
      </c>
    </row>
    <row r="403" spans="1:6" ht="12.75">
      <c r="A403" s="53" t="s">
        <v>80</v>
      </c>
      <c r="B403" s="53" t="s">
        <v>93</v>
      </c>
      <c r="C403" s="53" t="s">
        <v>93</v>
      </c>
      <c r="D403" s="54" t="s">
        <v>57</v>
      </c>
      <c r="E403" s="60">
        <f>E404</f>
        <v>1313.3</v>
      </c>
      <c r="F403" s="60">
        <f aca="true" t="shared" si="130" ref="F403:F405">F404</f>
        <v>1207.4</v>
      </c>
    </row>
    <row r="404" spans="1:6" ht="47.25">
      <c r="A404" s="53" t="s">
        <v>80</v>
      </c>
      <c r="B404" s="53" t="s">
        <v>199</v>
      </c>
      <c r="C404" s="53" t="s">
        <v>93</v>
      </c>
      <c r="D404" s="54" t="s">
        <v>326</v>
      </c>
      <c r="E404" s="60">
        <f>E405</f>
        <v>1313.3</v>
      </c>
      <c r="F404" s="60">
        <f t="shared" si="130"/>
        <v>1207.4</v>
      </c>
    </row>
    <row r="405" spans="1:6" ht="12.75">
      <c r="A405" s="53" t="s">
        <v>80</v>
      </c>
      <c r="B405" s="53" t="s">
        <v>248</v>
      </c>
      <c r="C405" s="53" t="s">
        <v>93</v>
      </c>
      <c r="D405" s="54" t="s">
        <v>153</v>
      </c>
      <c r="E405" s="60">
        <f>E406</f>
        <v>1313.3</v>
      </c>
      <c r="F405" s="60">
        <f t="shared" si="130"/>
        <v>1207.4</v>
      </c>
    </row>
    <row r="406" spans="1:6" ht="47.25">
      <c r="A406" s="53" t="s">
        <v>80</v>
      </c>
      <c r="B406" s="53" t="s">
        <v>249</v>
      </c>
      <c r="C406" s="53" t="s">
        <v>93</v>
      </c>
      <c r="D406" s="54" t="s">
        <v>94</v>
      </c>
      <c r="E406" s="60">
        <f>E408+E407</f>
        <v>1313.3</v>
      </c>
      <c r="F406" s="60">
        <f aca="true" t="shared" si="131" ref="F406">F408+F407</f>
        <v>1207.4</v>
      </c>
    </row>
    <row r="407" spans="1:6" ht="31.5">
      <c r="A407" s="53" t="s">
        <v>80</v>
      </c>
      <c r="B407" s="53" t="s">
        <v>249</v>
      </c>
      <c r="C407" s="53" t="s">
        <v>96</v>
      </c>
      <c r="D407" s="54" t="s">
        <v>329</v>
      </c>
      <c r="E407" s="60">
        <f>'№6'!F260</f>
        <v>105.9</v>
      </c>
      <c r="F407" s="60">
        <f>'№6'!G260</f>
        <v>0</v>
      </c>
    </row>
    <row r="408" spans="1:6" ht="12.75">
      <c r="A408" s="53" t="s">
        <v>80</v>
      </c>
      <c r="B408" s="53" t="s">
        <v>249</v>
      </c>
      <c r="C408" s="53" t="s">
        <v>100</v>
      </c>
      <c r="D408" s="54" t="s">
        <v>101</v>
      </c>
      <c r="E408" s="60">
        <f>'№6'!F261</f>
        <v>1207.3999999999999</v>
      </c>
      <c r="F408" s="60">
        <f>'№6'!G261</f>
        <v>1207.4</v>
      </c>
    </row>
    <row r="409" spans="1:6" ht="12.75">
      <c r="A409" s="53" t="s">
        <v>65</v>
      </c>
      <c r="B409" s="53" t="s">
        <v>93</v>
      </c>
      <c r="C409" s="53" t="s">
        <v>93</v>
      </c>
      <c r="D409" s="54" t="s">
        <v>59</v>
      </c>
      <c r="E409" s="60">
        <f>E410+E416</f>
        <v>4234.8</v>
      </c>
      <c r="F409" s="60">
        <f aca="true" t="shared" si="132" ref="F409">F410+F416</f>
        <v>4203.8</v>
      </c>
    </row>
    <row r="410" spans="1:6" ht="46.5" customHeight="1">
      <c r="A410" s="53" t="s">
        <v>65</v>
      </c>
      <c r="B410" s="53" t="s">
        <v>235</v>
      </c>
      <c r="C410" s="53" t="s">
        <v>93</v>
      </c>
      <c r="D410" s="54" t="s">
        <v>440</v>
      </c>
      <c r="E410" s="60">
        <f>E411</f>
        <v>3546.8</v>
      </c>
      <c r="F410" s="60">
        <f aca="true" t="shared" si="133" ref="F410:F412">F411</f>
        <v>3546.8</v>
      </c>
    </row>
    <row r="411" spans="1:6" ht="18.75" customHeight="1">
      <c r="A411" s="53" t="s">
        <v>65</v>
      </c>
      <c r="B411" s="53" t="s">
        <v>286</v>
      </c>
      <c r="C411" s="53" t="s">
        <v>93</v>
      </c>
      <c r="D411" s="54" t="s">
        <v>168</v>
      </c>
      <c r="E411" s="60">
        <f>E412+E414</f>
        <v>3546.8</v>
      </c>
      <c r="F411" s="60">
        <f aca="true" t="shared" si="134" ref="F411">F412+F414</f>
        <v>3546.8</v>
      </c>
    </row>
    <row r="412" spans="1:6" ht="31.5">
      <c r="A412" s="53" t="s">
        <v>65</v>
      </c>
      <c r="B412" s="53" t="s">
        <v>463</v>
      </c>
      <c r="C412" s="53" t="s">
        <v>93</v>
      </c>
      <c r="D412" s="54" t="s">
        <v>169</v>
      </c>
      <c r="E412" s="60">
        <f>E413</f>
        <v>1762.7</v>
      </c>
      <c r="F412" s="60">
        <f t="shared" si="133"/>
        <v>1762.7</v>
      </c>
    </row>
    <row r="413" spans="1:6" ht="12.75">
      <c r="A413" s="53" t="s">
        <v>65</v>
      </c>
      <c r="B413" s="53" t="s">
        <v>463</v>
      </c>
      <c r="C413" s="53" t="s">
        <v>100</v>
      </c>
      <c r="D413" s="54" t="s">
        <v>101</v>
      </c>
      <c r="E413" s="60">
        <f>'№6'!F430</f>
        <v>1762.7</v>
      </c>
      <c r="F413" s="60">
        <f>'№6'!G430</f>
        <v>1762.7</v>
      </c>
    </row>
    <row r="414" spans="1:6" ht="47.25">
      <c r="A414" s="53" t="s">
        <v>65</v>
      </c>
      <c r="B414" s="53" t="s">
        <v>567</v>
      </c>
      <c r="C414" s="53" t="s">
        <v>93</v>
      </c>
      <c r="D414" s="54" t="s">
        <v>568</v>
      </c>
      <c r="E414" s="60">
        <f>E415</f>
        <v>1784.1</v>
      </c>
      <c r="F414" s="60">
        <f aca="true" t="shared" si="135" ref="F414">F415</f>
        <v>1784.1</v>
      </c>
    </row>
    <row r="415" spans="1:6" ht="12.75">
      <c r="A415" s="53" t="s">
        <v>65</v>
      </c>
      <c r="B415" s="53" t="s">
        <v>567</v>
      </c>
      <c r="C415" s="53" t="s">
        <v>100</v>
      </c>
      <c r="D415" s="54" t="s">
        <v>101</v>
      </c>
      <c r="E415" s="60">
        <f>'№6'!F432</f>
        <v>1784.1</v>
      </c>
      <c r="F415" s="60">
        <f>'№6'!G432</f>
        <v>1784.1</v>
      </c>
    </row>
    <row r="416" spans="1:6" ht="47.25">
      <c r="A416" s="53" t="s">
        <v>65</v>
      </c>
      <c r="B416" s="53" t="s">
        <v>199</v>
      </c>
      <c r="C416" s="53" t="s">
        <v>93</v>
      </c>
      <c r="D416" s="54" t="s">
        <v>326</v>
      </c>
      <c r="E416" s="60">
        <f>E417+E420</f>
        <v>688</v>
      </c>
      <c r="F416" s="60">
        <f aca="true" t="shared" si="136" ref="F416">F417+F420</f>
        <v>657</v>
      </c>
    </row>
    <row r="417" spans="1:6" ht="47.25">
      <c r="A417" s="53" t="s">
        <v>65</v>
      </c>
      <c r="B417" s="53" t="s">
        <v>212</v>
      </c>
      <c r="C417" s="53" t="s">
        <v>93</v>
      </c>
      <c r="D417" s="54" t="s">
        <v>154</v>
      </c>
      <c r="E417" s="60">
        <f>E418</f>
        <v>408</v>
      </c>
      <c r="F417" s="60">
        <f aca="true" t="shared" si="137" ref="F417:F418">F418</f>
        <v>385</v>
      </c>
    </row>
    <row r="418" spans="1:6" ht="31.5">
      <c r="A418" s="53" t="s">
        <v>65</v>
      </c>
      <c r="B418" s="53" t="s">
        <v>250</v>
      </c>
      <c r="C418" s="53" t="s">
        <v>93</v>
      </c>
      <c r="D418" s="54" t="s">
        <v>401</v>
      </c>
      <c r="E418" s="60">
        <f>E419</f>
        <v>408</v>
      </c>
      <c r="F418" s="60">
        <f t="shared" si="137"/>
        <v>385</v>
      </c>
    </row>
    <row r="419" spans="1:6" ht="31.5">
      <c r="A419" s="53" t="s">
        <v>65</v>
      </c>
      <c r="B419" s="53" t="s">
        <v>250</v>
      </c>
      <c r="C419" s="53" t="s">
        <v>397</v>
      </c>
      <c r="D419" s="54" t="s">
        <v>398</v>
      </c>
      <c r="E419" s="60">
        <f>'№6'!F267</f>
        <v>408</v>
      </c>
      <c r="F419" s="60">
        <f>'№6'!G267</f>
        <v>385</v>
      </c>
    </row>
    <row r="420" spans="1:6" ht="12.75">
      <c r="A420" s="53" t="s">
        <v>65</v>
      </c>
      <c r="B420" s="53" t="s">
        <v>248</v>
      </c>
      <c r="C420" s="53" t="s">
        <v>93</v>
      </c>
      <c r="D420" s="54" t="s">
        <v>153</v>
      </c>
      <c r="E420" s="60">
        <f>E421+E424</f>
        <v>280</v>
      </c>
      <c r="F420" s="60">
        <f aca="true" t="shared" si="138" ref="F420">F421+F424</f>
        <v>272</v>
      </c>
    </row>
    <row r="421" spans="1:6" ht="31.5">
      <c r="A421" s="53" t="s">
        <v>65</v>
      </c>
      <c r="B421" s="53" t="s">
        <v>252</v>
      </c>
      <c r="C421" s="53" t="s">
        <v>93</v>
      </c>
      <c r="D421" s="54" t="s">
        <v>402</v>
      </c>
      <c r="E421" s="60">
        <f>E423+E422</f>
        <v>121</v>
      </c>
      <c r="F421" s="60">
        <f aca="true" t="shared" si="139" ref="F421">F423+F422</f>
        <v>113</v>
      </c>
    </row>
    <row r="422" spans="1:6" ht="31.5">
      <c r="A422" s="53" t="s">
        <v>65</v>
      </c>
      <c r="B422" s="53" t="s">
        <v>252</v>
      </c>
      <c r="C422" s="53" t="s">
        <v>96</v>
      </c>
      <c r="D422" s="54" t="s">
        <v>329</v>
      </c>
      <c r="E422" s="60">
        <f>'№6'!F271</f>
        <v>6.8</v>
      </c>
      <c r="F422" s="60">
        <f>'№6'!G271</f>
        <v>0</v>
      </c>
    </row>
    <row r="423" spans="1:6" ht="12.75">
      <c r="A423" s="53" t="s">
        <v>65</v>
      </c>
      <c r="B423" s="53" t="s">
        <v>252</v>
      </c>
      <c r="C423" s="53" t="s">
        <v>100</v>
      </c>
      <c r="D423" s="54" t="s">
        <v>101</v>
      </c>
      <c r="E423" s="60">
        <f>'№6'!F272</f>
        <v>114.2</v>
      </c>
      <c r="F423" s="60">
        <f>'№6'!G272</f>
        <v>113</v>
      </c>
    </row>
    <row r="424" spans="1:6" ht="31.5">
      <c r="A424" s="53" t="s">
        <v>65</v>
      </c>
      <c r="B424" s="53" t="s">
        <v>251</v>
      </c>
      <c r="C424" s="53" t="s">
        <v>93</v>
      </c>
      <c r="D424" s="54" t="s">
        <v>195</v>
      </c>
      <c r="E424" s="60">
        <f>E425</f>
        <v>159</v>
      </c>
      <c r="F424" s="60">
        <f aca="true" t="shared" si="140" ref="F424">F425</f>
        <v>159</v>
      </c>
    </row>
    <row r="425" spans="1:6" ht="12.75">
      <c r="A425" s="53" t="s">
        <v>65</v>
      </c>
      <c r="B425" s="53" t="s">
        <v>251</v>
      </c>
      <c r="C425" s="53" t="s">
        <v>100</v>
      </c>
      <c r="D425" s="54" t="s">
        <v>101</v>
      </c>
      <c r="E425" s="60">
        <f>'№6'!F275</f>
        <v>159</v>
      </c>
      <c r="F425" s="60">
        <f>'№6'!G275</f>
        <v>159</v>
      </c>
    </row>
    <row r="426" spans="1:6" ht="12.75">
      <c r="A426" s="53" t="s">
        <v>125</v>
      </c>
      <c r="B426" s="53" t="s">
        <v>93</v>
      </c>
      <c r="C426" s="53" t="s">
        <v>93</v>
      </c>
      <c r="D426" s="54" t="s">
        <v>126</v>
      </c>
      <c r="E426" s="60">
        <f>E427+E432</f>
        <v>14422.300000000001</v>
      </c>
      <c r="F426" s="60">
        <f aca="true" t="shared" si="141" ref="F426">F427+F432</f>
        <v>14422.3</v>
      </c>
    </row>
    <row r="427" spans="1:6" ht="31.5">
      <c r="A427" s="53" t="s">
        <v>125</v>
      </c>
      <c r="B427" s="53" t="s">
        <v>278</v>
      </c>
      <c r="C427" s="53" t="s">
        <v>93</v>
      </c>
      <c r="D427" s="54" t="s">
        <v>383</v>
      </c>
      <c r="E427" s="60">
        <f>E428</f>
        <v>9069.300000000001</v>
      </c>
      <c r="F427" s="60">
        <f aca="true" t="shared" si="142" ref="F427:F428">F428</f>
        <v>9069.3</v>
      </c>
    </row>
    <row r="428" spans="1:6" ht="31.5">
      <c r="A428" s="53" t="s">
        <v>125</v>
      </c>
      <c r="B428" s="53" t="s">
        <v>279</v>
      </c>
      <c r="C428" s="53" t="s">
        <v>93</v>
      </c>
      <c r="D428" s="54" t="s">
        <v>114</v>
      </c>
      <c r="E428" s="60">
        <f>E429</f>
        <v>9069.300000000001</v>
      </c>
      <c r="F428" s="60">
        <f t="shared" si="142"/>
        <v>9069.3</v>
      </c>
    </row>
    <row r="429" spans="1:6" ht="63">
      <c r="A429" s="53" t="s">
        <v>125</v>
      </c>
      <c r="B429" s="53" t="s">
        <v>306</v>
      </c>
      <c r="C429" s="53" t="s">
        <v>93</v>
      </c>
      <c r="D429" s="54" t="s">
        <v>127</v>
      </c>
      <c r="E429" s="60">
        <f>E430+E431</f>
        <v>9069.300000000001</v>
      </c>
      <c r="F429" s="60">
        <f aca="true" t="shared" si="143" ref="F429">F430+F431</f>
        <v>9069.3</v>
      </c>
    </row>
    <row r="430" spans="1:6" ht="31.5">
      <c r="A430" s="53" t="s">
        <v>125</v>
      </c>
      <c r="B430" s="53" t="s">
        <v>306</v>
      </c>
      <c r="C430" s="53" t="s">
        <v>96</v>
      </c>
      <c r="D430" s="54" t="s">
        <v>329</v>
      </c>
      <c r="E430" s="60">
        <f>'№6'!F567</f>
        <v>250</v>
      </c>
      <c r="F430" s="60">
        <f>'№6'!G567</f>
        <v>250</v>
      </c>
    </row>
    <row r="431" spans="1:6" ht="12.75">
      <c r="A431" s="53" t="s">
        <v>125</v>
      </c>
      <c r="B431" s="53" t="s">
        <v>306</v>
      </c>
      <c r="C431" s="53" t="s">
        <v>100</v>
      </c>
      <c r="D431" s="54" t="s">
        <v>101</v>
      </c>
      <c r="E431" s="60">
        <f>'№6'!F568</f>
        <v>8819.300000000001</v>
      </c>
      <c r="F431" s="60">
        <f>'№6'!G568</f>
        <v>8819.3</v>
      </c>
    </row>
    <row r="432" spans="1:6" ht="53.25" customHeight="1">
      <c r="A432" s="53" t="s">
        <v>125</v>
      </c>
      <c r="B432" s="53" t="s">
        <v>235</v>
      </c>
      <c r="C432" s="53" t="s">
        <v>93</v>
      </c>
      <c r="D432" s="54" t="s">
        <v>440</v>
      </c>
      <c r="E432" s="60">
        <f>E433</f>
        <v>5353</v>
      </c>
      <c r="F432" s="60">
        <f aca="true" t="shared" si="144" ref="F432:F434">F433</f>
        <v>5353</v>
      </c>
    </row>
    <row r="433" spans="1:6" ht="47.25">
      <c r="A433" s="53" t="s">
        <v>125</v>
      </c>
      <c r="B433" s="53" t="s">
        <v>271</v>
      </c>
      <c r="C433" s="53" t="s">
        <v>93</v>
      </c>
      <c r="D433" s="54" t="s">
        <v>441</v>
      </c>
      <c r="E433" s="60">
        <f>E434</f>
        <v>5353</v>
      </c>
      <c r="F433" s="60">
        <f t="shared" si="144"/>
        <v>5353</v>
      </c>
    </row>
    <row r="434" spans="1:6" ht="63">
      <c r="A434" s="53" t="s">
        <v>125</v>
      </c>
      <c r="B434" s="53" t="s">
        <v>311</v>
      </c>
      <c r="C434" s="53" t="s">
        <v>93</v>
      </c>
      <c r="D434" s="54" t="s">
        <v>592</v>
      </c>
      <c r="E434" s="60">
        <f>E435</f>
        <v>5353</v>
      </c>
      <c r="F434" s="60">
        <f t="shared" si="144"/>
        <v>5353</v>
      </c>
    </row>
    <row r="435" spans="1:6" ht="31.5">
      <c r="A435" s="53" t="s">
        <v>125</v>
      </c>
      <c r="B435" s="53" t="s">
        <v>311</v>
      </c>
      <c r="C435" s="53" t="s">
        <v>99</v>
      </c>
      <c r="D435" s="54" t="s">
        <v>375</v>
      </c>
      <c r="E435" s="60">
        <f>'№6'!F356</f>
        <v>5353</v>
      </c>
      <c r="F435" s="60">
        <f>'№6'!G356</f>
        <v>5353</v>
      </c>
    </row>
    <row r="436" spans="1:6" ht="12.75">
      <c r="A436" s="55" t="s">
        <v>88</v>
      </c>
      <c r="B436" s="55" t="s">
        <v>93</v>
      </c>
      <c r="C436" s="55" t="s">
        <v>93</v>
      </c>
      <c r="D436" s="44" t="s">
        <v>55</v>
      </c>
      <c r="E436" s="57">
        <f>E437+E452</f>
        <v>16791.899999999998</v>
      </c>
      <c r="F436" s="57">
        <f>F437+F452</f>
        <v>16507.3</v>
      </c>
    </row>
    <row r="437" spans="1:6" ht="12.75">
      <c r="A437" s="53" t="s">
        <v>140</v>
      </c>
      <c r="B437" s="53" t="s">
        <v>93</v>
      </c>
      <c r="C437" s="53" t="s">
        <v>93</v>
      </c>
      <c r="D437" s="54" t="s">
        <v>89</v>
      </c>
      <c r="E437" s="60">
        <f>E438</f>
        <v>14381.699999999997</v>
      </c>
      <c r="F437" s="60">
        <f aca="true" t="shared" si="145" ref="F437:F438">F438</f>
        <v>14097.099999999999</v>
      </c>
    </row>
    <row r="438" spans="1:6" ht="47.25">
      <c r="A438" s="53" t="s">
        <v>140</v>
      </c>
      <c r="B438" s="53" t="s">
        <v>274</v>
      </c>
      <c r="C438" s="53" t="s">
        <v>93</v>
      </c>
      <c r="D438" s="54" t="s">
        <v>447</v>
      </c>
      <c r="E438" s="60">
        <f>E439</f>
        <v>14381.699999999997</v>
      </c>
      <c r="F438" s="60">
        <f t="shared" si="145"/>
        <v>14097.099999999999</v>
      </c>
    </row>
    <row r="439" spans="1:6" ht="31.5">
      <c r="A439" s="53" t="s">
        <v>140</v>
      </c>
      <c r="B439" s="53" t="s">
        <v>275</v>
      </c>
      <c r="C439" s="53" t="s">
        <v>93</v>
      </c>
      <c r="D439" s="54" t="s">
        <v>138</v>
      </c>
      <c r="E439" s="60">
        <f>E442+E444+E448+E450+E440</f>
        <v>14381.699999999997</v>
      </c>
      <c r="F439" s="60">
        <f aca="true" t="shared" si="146" ref="F439">F442+F444+F448+F450+F440</f>
        <v>14097.099999999999</v>
      </c>
    </row>
    <row r="440" spans="1:6" ht="63">
      <c r="A440" s="53" t="s">
        <v>140</v>
      </c>
      <c r="B440" s="53" t="s">
        <v>581</v>
      </c>
      <c r="C440" s="53" t="s">
        <v>93</v>
      </c>
      <c r="D440" s="54" t="s">
        <v>582</v>
      </c>
      <c r="E440" s="60">
        <f>E441</f>
        <v>2467.2</v>
      </c>
      <c r="F440" s="60">
        <f aca="true" t="shared" si="147" ref="F440">F441</f>
        <v>2234.7</v>
      </c>
    </row>
    <row r="441" spans="1:6" ht="31.5">
      <c r="A441" s="53" t="s">
        <v>140</v>
      </c>
      <c r="B441" s="53" t="s">
        <v>581</v>
      </c>
      <c r="C441" s="53" t="s">
        <v>96</v>
      </c>
      <c r="D441" s="54" t="s">
        <v>329</v>
      </c>
      <c r="E441" s="60">
        <f>'№6'!F448</f>
        <v>2467.2</v>
      </c>
      <c r="F441" s="60">
        <f>'№6'!G448</f>
        <v>2234.7</v>
      </c>
    </row>
    <row r="442" spans="1:6" ht="47.25">
      <c r="A442" s="14" t="s">
        <v>140</v>
      </c>
      <c r="B442" s="14" t="s">
        <v>288</v>
      </c>
      <c r="C442" s="133"/>
      <c r="D442" s="48" t="s">
        <v>142</v>
      </c>
      <c r="E442" s="60">
        <f>E443</f>
        <v>9824.9</v>
      </c>
      <c r="F442" s="60">
        <f aca="true" t="shared" si="148" ref="F442">F443</f>
        <v>9824.9</v>
      </c>
    </row>
    <row r="443" spans="1:6" ht="31.5">
      <c r="A443" s="14" t="s">
        <v>140</v>
      </c>
      <c r="B443" s="14" t="s">
        <v>288</v>
      </c>
      <c r="C443" s="133">
        <v>600</v>
      </c>
      <c r="D443" s="48" t="s">
        <v>117</v>
      </c>
      <c r="E443" s="60">
        <f>'№6'!F439</f>
        <v>9824.9</v>
      </c>
      <c r="F443" s="60">
        <f>'№6'!G439</f>
        <v>9824.9</v>
      </c>
    </row>
    <row r="444" spans="1:6" ht="31.5">
      <c r="A444" s="53" t="s">
        <v>140</v>
      </c>
      <c r="B444" s="53" t="s">
        <v>287</v>
      </c>
      <c r="C444" s="53" t="s">
        <v>93</v>
      </c>
      <c r="D444" s="54" t="s">
        <v>141</v>
      </c>
      <c r="E444" s="60">
        <f>E445+E446+E447</f>
        <v>1070.4</v>
      </c>
      <c r="F444" s="60">
        <f aca="true" t="shared" si="149" ref="F444">F445+F446+F447</f>
        <v>1070.3</v>
      </c>
    </row>
    <row r="445" spans="1:6" ht="63">
      <c r="A445" s="53" t="s">
        <v>140</v>
      </c>
      <c r="B445" s="53" t="s">
        <v>287</v>
      </c>
      <c r="C445" s="53" t="s">
        <v>95</v>
      </c>
      <c r="D445" s="54" t="s">
        <v>3</v>
      </c>
      <c r="E445" s="60">
        <f>'№6'!F441</f>
        <v>534.5</v>
      </c>
      <c r="F445" s="60">
        <f>'№6'!G441</f>
        <v>534.4</v>
      </c>
    </row>
    <row r="446" spans="1:6" ht="31.5">
      <c r="A446" s="53" t="s">
        <v>140</v>
      </c>
      <c r="B446" s="53" t="s">
        <v>287</v>
      </c>
      <c r="C446" s="53" t="s">
        <v>96</v>
      </c>
      <c r="D446" s="54" t="s">
        <v>329</v>
      </c>
      <c r="E446" s="60">
        <f>'№6'!F442</f>
        <v>439.40000000000003</v>
      </c>
      <c r="F446" s="60">
        <f>'№6'!G442</f>
        <v>439.4</v>
      </c>
    </row>
    <row r="447" spans="1:6" ht="12.75">
      <c r="A447" s="53" t="s">
        <v>140</v>
      </c>
      <c r="B447" s="53" t="s">
        <v>287</v>
      </c>
      <c r="C447" s="53" t="s">
        <v>97</v>
      </c>
      <c r="D447" s="54" t="s">
        <v>98</v>
      </c>
      <c r="E447" s="60">
        <f>'№6'!F443</f>
        <v>96.5</v>
      </c>
      <c r="F447" s="60">
        <f>'№6'!G443</f>
        <v>96.5</v>
      </c>
    </row>
    <row r="448" spans="1:6" ht="47.25">
      <c r="A448" s="53" t="s">
        <v>140</v>
      </c>
      <c r="B448" s="53" t="s">
        <v>289</v>
      </c>
      <c r="C448" s="53" t="s">
        <v>93</v>
      </c>
      <c r="D448" s="54" t="s">
        <v>143</v>
      </c>
      <c r="E448" s="60">
        <f>E449</f>
        <v>251.9</v>
      </c>
      <c r="F448" s="60">
        <f aca="true" t="shared" si="150" ref="F448">F449</f>
        <v>251.9</v>
      </c>
    </row>
    <row r="449" spans="1:6" ht="31.5">
      <c r="A449" s="53" t="s">
        <v>140</v>
      </c>
      <c r="B449" s="53" t="s">
        <v>289</v>
      </c>
      <c r="C449" s="53" t="s">
        <v>397</v>
      </c>
      <c r="D449" s="54" t="s">
        <v>398</v>
      </c>
      <c r="E449" s="60">
        <f>'№6'!F445</f>
        <v>251.9</v>
      </c>
      <c r="F449" s="60">
        <f>'№6'!G445</f>
        <v>251.9</v>
      </c>
    </row>
    <row r="450" spans="1:6" ht="63">
      <c r="A450" s="53" t="s">
        <v>140</v>
      </c>
      <c r="B450" s="53" t="s">
        <v>495</v>
      </c>
      <c r="C450" s="53" t="s">
        <v>93</v>
      </c>
      <c r="D450" s="54" t="s">
        <v>577</v>
      </c>
      <c r="E450" s="60">
        <f>E451</f>
        <v>767.3</v>
      </c>
      <c r="F450" s="60">
        <f aca="true" t="shared" si="151" ref="F450">F451</f>
        <v>715.3</v>
      </c>
    </row>
    <row r="451" spans="1:6" ht="31.5">
      <c r="A451" s="53" t="s">
        <v>140</v>
      </c>
      <c r="B451" s="53" t="s">
        <v>495</v>
      </c>
      <c r="C451" s="53" t="s">
        <v>96</v>
      </c>
      <c r="D451" s="54" t="s">
        <v>329</v>
      </c>
      <c r="E451" s="60">
        <f>'№6'!F450</f>
        <v>767.3</v>
      </c>
      <c r="F451" s="60">
        <f>'№6'!G450</f>
        <v>715.3</v>
      </c>
    </row>
    <row r="452" spans="1:6" ht="12.75">
      <c r="A452" s="53" t="s">
        <v>144</v>
      </c>
      <c r="B452" s="53" t="s">
        <v>93</v>
      </c>
      <c r="C452" s="53" t="s">
        <v>93</v>
      </c>
      <c r="D452" s="54" t="s">
        <v>0</v>
      </c>
      <c r="E452" s="60">
        <f>E453</f>
        <v>2410.2</v>
      </c>
      <c r="F452" s="60">
        <f aca="true" t="shared" si="152" ref="F452:F454">F453</f>
        <v>2410.2</v>
      </c>
    </row>
    <row r="453" spans="1:6" ht="47.25">
      <c r="A453" s="53" t="s">
        <v>144</v>
      </c>
      <c r="B453" s="53" t="s">
        <v>274</v>
      </c>
      <c r="C453" s="53" t="s">
        <v>93</v>
      </c>
      <c r="D453" s="54" t="s">
        <v>447</v>
      </c>
      <c r="E453" s="60">
        <f>E454</f>
        <v>2410.2</v>
      </c>
      <c r="F453" s="60">
        <f t="shared" si="152"/>
        <v>2410.2</v>
      </c>
    </row>
    <row r="454" spans="1:6" ht="12.75">
      <c r="A454" s="53" t="s">
        <v>144</v>
      </c>
      <c r="B454" s="53" t="s">
        <v>290</v>
      </c>
      <c r="C454" s="53" t="s">
        <v>93</v>
      </c>
      <c r="D454" s="54" t="s">
        <v>2</v>
      </c>
      <c r="E454" s="60">
        <f>E455</f>
        <v>2410.2</v>
      </c>
      <c r="F454" s="60">
        <f t="shared" si="152"/>
        <v>2410.2</v>
      </c>
    </row>
    <row r="455" spans="1:6" ht="63">
      <c r="A455" s="53" t="s">
        <v>144</v>
      </c>
      <c r="B455" s="53" t="s">
        <v>291</v>
      </c>
      <c r="C455" s="53" t="s">
        <v>93</v>
      </c>
      <c r="D455" s="54" t="s">
        <v>330</v>
      </c>
      <c r="E455" s="60">
        <f>E456+E457+E458</f>
        <v>2410.2</v>
      </c>
      <c r="F455" s="60">
        <f aca="true" t="shared" si="153" ref="F455">F456+F457+F458</f>
        <v>2410.2</v>
      </c>
    </row>
    <row r="456" spans="1:6" ht="63">
      <c r="A456" s="53" t="s">
        <v>144</v>
      </c>
      <c r="B456" s="53" t="s">
        <v>291</v>
      </c>
      <c r="C456" s="53" t="s">
        <v>95</v>
      </c>
      <c r="D456" s="54" t="s">
        <v>3</v>
      </c>
      <c r="E456" s="60">
        <f>'№6'!F456</f>
        <v>2138.7</v>
      </c>
      <c r="F456" s="60">
        <f>'№6'!G456</f>
        <v>2138.7</v>
      </c>
    </row>
    <row r="457" spans="1:6" ht="31.5">
      <c r="A457" s="53" t="s">
        <v>144</v>
      </c>
      <c r="B457" s="53" t="s">
        <v>291</v>
      </c>
      <c r="C457" s="53" t="s">
        <v>96</v>
      </c>
      <c r="D457" s="54" t="s">
        <v>329</v>
      </c>
      <c r="E457" s="60">
        <f>'№6'!F457</f>
        <v>271</v>
      </c>
      <c r="F457" s="60">
        <f>'№6'!G457</f>
        <v>271</v>
      </c>
    </row>
    <row r="458" spans="1:6" ht="12.75">
      <c r="A458" s="53" t="s">
        <v>144</v>
      </c>
      <c r="B458" s="53" t="s">
        <v>291</v>
      </c>
      <c r="C458" s="53" t="s">
        <v>97</v>
      </c>
      <c r="D458" s="54" t="s">
        <v>98</v>
      </c>
      <c r="E458" s="60">
        <f>'№6'!F458</f>
        <v>0.5</v>
      </c>
      <c r="F458" s="60">
        <f>'№6'!G458</f>
        <v>0.5</v>
      </c>
    </row>
    <row r="459" spans="1:6" ht="12.75">
      <c r="A459" s="55" t="s">
        <v>321</v>
      </c>
      <c r="B459" s="55" t="s">
        <v>93</v>
      </c>
      <c r="C459" s="55" t="s">
        <v>93</v>
      </c>
      <c r="D459" s="44" t="s">
        <v>90</v>
      </c>
      <c r="E459" s="57">
        <f>E460</f>
        <v>2554.5</v>
      </c>
      <c r="F459" s="57">
        <f aca="true" t="shared" si="154" ref="F459:F461">F460</f>
        <v>2554.5</v>
      </c>
    </row>
    <row r="460" spans="1:6" ht="12.75">
      <c r="A460" s="53" t="s">
        <v>91</v>
      </c>
      <c r="B460" s="53" t="s">
        <v>93</v>
      </c>
      <c r="C460" s="53" t="s">
        <v>93</v>
      </c>
      <c r="D460" s="54" t="s">
        <v>92</v>
      </c>
      <c r="E460" s="60">
        <f>E461</f>
        <v>2554.5</v>
      </c>
      <c r="F460" s="60">
        <f t="shared" si="154"/>
        <v>2554.5</v>
      </c>
    </row>
    <row r="461" spans="1:6" ht="47.25">
      <c r="A461" s="53" t="s">
        <v>91</v>
      </c>
      <c r="B461" s="53" t="s">
        <v>199</v>
      </c>
      <c r="C461" s="53" t="s">
        <v>93</v>
      </c>
      <c r="D461" s="54" t="s">
        <v>326</v>
      </c>
      <c r="E461" s="60">
        <f>E462</f>
        <v>2554.5</v>
      </c>
      <c r="F461" s="60">
        <f t="shared" si="154"/>
        <v>2554.5</v>
      </c>
    </row>
    <row r="462" spans="1:6" ht="47.25">
      <c r="A462" s="53" t="s">
        <v>91</v>
      </c>
      <c r="B462" s="53" t="s">
        <v>212</v>
      </c>
      <c r="C462" s="53" t="s">
        <v>93</v>
      </c>
      <c r="D462" s="54" t="s">
        <v>154</v>
      </c>
      <c r="E462" s="60">
        <f>E465+E467+E469+E463</f>
        <v>2554.5</v>
      </c>
      <c r="F462" s="60">
        <f aca="true" t="shared" si="155" ref="F462">F465+F467+F469+F463</f>
        <v>2554.5</v>
      </c>
    </row>
    <row r="463" spans="1:6" ht="78.75">
      <c r="A463" s="61" t="s">
        <v>91</v>
      </c>
      <c r="B463" s="14" t="s">
        <v>564</v>
      </c>
      <c r="C463" s="133"/>
      <c r="D463" s="48" t="s">
        <v>565</v>
      </c>
      <c r="E463" s="60">
        <f>E464</f>
        <v>485.9</v>
      </c>
      <c r="F463" s="60">
        <f aca="true" t="shared" si="156" ref="F463">F464</f>
        <v>485.9</v>
      </c>
    </row>
    <row r="464" spans="1:6" ht="12.75">
      <c r="A464" s="61" t="s">
        <v>91</v>
      </c>
      <c r="B464" s="14" t="s">
        <v>564</v>
      </c>
      <c r="C464" s="133" t="s">
        <v>97</v>
      </c>
      <c r="D464" s="48" t="s">
        <v>98</v>
      </c>
      <c r="E464" s="60">
        <f>'№6'!F282</f>
        <v>485.9</v>
      </c>
      <c r="F464" s="60">
        <f>'№6'!G282</f>
        <v>485.9</v>
      </c>
    </row>
    <row r="465" spans="1:6" ht="78.75">
      <c r="A465" s="53" t="s">
        <v>91</v>
      </c>
      <c r="B465" s="53" t="s">
        <v>253</v>
      </c>
      <c r="C465" s="53" t="s">
        <v>93</v>
      </c>
      <c r="D465" s="54" t="s">
        <v>407</v>
      </c>
      <c r="E465" s="60">
        <f>E466</f>
        <v>942.5</v>
      </c>
      <c r="F465" s="60">
        <f aca="true" t="shared" si="157" ref="F465">F466</f>
        <v>942.5</v>
      </c>
    </row>
    <row r="466" spans="1:6" ht="12.75">
      <c r="A466" s="53" t="s">
        <v>91</v>
      </c>
      <c r="B466" s="53" t="s">
        <v>253</v>
      </c>
      <c r="C466" s="53" t="s">
        <v>97</v>
      </c>
      <c r="D466" s="54" t="s">
        <v>98</v>
      </c>
      <c r="E466" s="60">
        <f>'№6'!F284</f>
        <v>942.5</v>
      </c>
      <c r="F466" s="60">
        <f>'№6'!G284</f>
        <v>942.5</v>
      </c>
    </row>
    <row r="467" spans="1:6" ht="78.75">
      <c r="A467" s="53" t="s">
        <v>91</v>
      </c>
      <c r="B467" s="53" t="s">
        <v>254</v>
      </c>
      <c r="C467" s="53" t="s">
        <v>93</v>
      </c>
      <c r="D467" s="54" t="s">
        <v>192</v>
      </c>
      <c r="E467" s="60">
        <f>E468</f>
        <v>489.6</v>
      </c>
      <c r="F467" s="60">
        <f aca="true" t="shared" si="158" ref="F467">F468</f>
        <v>489.6</v>
      </c>
    </row>
    <row r="468" spans="1:6" ht="12.75">
      <c r="A468" s="53" t="s">
        <v>91</v>
      </c>
      <c r="B468" s="53" t="s">
        <v>254</v>
      </c>
      <c r="C468" s="53" t="s">
        <v>97</v>
      </c>
      <c r="D468" s="54" t="s">
        <v>98</v>
      </c>
      <c r="E468" s="60">
        <f>'№6'!F286</f>
        <v>489.6</v>
      </c>
      <c r="F468" s="60">
        <f>'№6'!G286</f>
        <v>489.6</v>
      </c>
    </row>
    <row r="469" spans="1:6" ht="63">
      <c r="A469" s="53" t="s">
        <v>91</v>
      </c>
      <c r="B469" s="53" t="s">
        <v>408</v>
      </c>
      <c r="C469" s="53" t="s">
        <v>93</v>
      </c>
      <c r="D469" s="54" t="s">
        <v>409</v>
      </c>
      <c r="E469" s="60">
        <f>E470</f>
        <v>636.5</v>
      </c>
      <c r="F469" s="60">
        <f aca="true" t="shared" si="159" ref="F469">F470</f>
        <v>636.5</v>
      </c>
    </row>
    <row r="470" spans="1:6" ht="12.75">
      <c r="A470" s="53" t="s">
        <v>91</v>
      </c>
      <c r="B470" s="53" t="s">
        <v>408</v>
      </c>
      <c r="C470" s="53" t="s">
        <v>97</v>
      </c>
      <c r="D470" s="54" t="s">
        <v>98</v>
      </c>
      <c r="E470" s="60">
        <f>'№6'!F288</f>
        <v>636.5</v>
      </c>
      <c r="F470" s="60">
        <f>'№6'!G288</f>
        <v>636.5</v>
      </c>
    </row>
    <row r="471" spans="1:6" ht="18" customHeight="1">
      <c r="A471" s="55" t="s">
        <v>322</v>
      </c>
      <c r="B471" s="55" t="s">
        <v>93</v>
      </c>
      <c r="C471" s="55" t="s">
        <v>93</v>
      </c>
      <c r="D471" s="44" t="s">
        <v>485</v>
      </c>
      <c r="E471" s="57">
        <f>E472</f>
        <v>525.5</v>
      </c>
      <c r="F471" s="57">
        <f aca="true" t="shared" si="160" ref="F471:F475">F472</f>
        <v>520.2</v>
      </c>
    </row>
    <row r="472" spans="1:6" ht="21.75" customHeight="1">
      <c r="A472" s="53" t="s">
        <v>323</v>
      </c>
      <c r="B472" s="53" t="s">
        <v>93</v>
      </c>
      <c r="C472" s="53" t="s">
        <v>93</v>
      </c>
      <c r="D472" s="54" t="s">
        <v>324</v>
      </c>
      <c r="E472" s="60">
        <f>E473</f>
        <v>525.5</v>
      </c>
      <c r="F472" s="60">
        <f t="shared" si="160"/>
        <v>520.2</v>
      </c>
    </row>
    <row r="473" spans="1:6" ht="33" customHeight="1">
      <c r="A473" s="53" t="s">
        <v>323</v>
      </c>
      <c r="B473" s="53" t="s">
        <v>255</v>
      </c>
      <c r="C473" s="53" t="s">
        <v>93</v>
      </c>
      <c r="D473" s="54" t="s">
        <v>410</v>
      </c>
      <c r="E473" s="60">
        <f>E474</f>
        <v>525.5</v>
      </c>
      <c r="F473" s="60">
        <f t="shared" si="160"/>
        <v>520.2</v>
      </c>
    </row>
    <row r="474" spans="1:6" ht="32.25" customHeight="1">
      <c r="A474" s="53" t="s">
        <v>323</v>
      </c>
      <c r="B474" s="53" t="s">
        <v>424</v>
      </c>
      <c r="C474" s="53" t="s">
        <v>93</v>
      </c>
      <c r="D474" s="54" t="s">
        <v>425</v>
      </c>
      <c r="E474" s="60">
        <f>E475</f>
        <v>525.5</v>
      </c>
      <c r="F474" s="60">
        <f t="shared" si="160"/>
        <v>520.2</v>
      </c>
    </row>
    <row r="475" spans="1:6" ht="12.75">
      <c r="A475" s="53" t="s">
        <v>323</v>
      </c>
      <c r="B475" s="53" t="s">
        <v>428</v>
      </c>
      <c r="C475" s="53" t="s">
        <v>93</v>
      </c>
      <c r="D475" s="54" t="s">
        <v>429</v>
      </c>
      <c r="E475" s="60">
        <f>E476</f>
        <v>525.5</v>
      </c>
      <c r="F475" s="60">
        <f t="shared" si="160"/>
        <v>520.2</v>
      </c>
    </row>
    <row r="476" spans="1:6" ht="12.75">
      <c r="A476" s="53" t="s">
        <v>323</v>
      </c>
      <c r="B476" s="53" t="s">
        <v>428</v>
      </c>
      <c r="C476" s="53" t="s">
        <v>430</v>
      </c>
      <c r="D476" s="54" t="s">
        <v>431</v>
      </c>
      <c r="E476" s="60">
        <f>'№6'!F317</f>
        <v>525.5</v>
      </c>
      <c r="F476" s="60">
        <f>'№6'!G317</f>
        <v>520.2</v>
      </c>
    </row>
  </sheetData>
  <mergeCells count="2">
    <mergeCell ref="A2:F2"/>
    <mergeCell ref="A1:F1"/>
  </mergeCells>
  <printOptions/>
  <pageMargins left="0.7874015748031497" right="0.1968503937007874" top="0.1968503937007874" bottom="0.1968503937007874" header="0.31496062992125984" footer="0.31496062992125984"/>
  <pageSetup fitToHeight="15" fitToWidth="1" horizontalDpi="600" verticalDpi="600" orientation="portrait" paperSize="9" scale="75" r:id="rId1"/>
  <headerFooter>
    <oddFooter>&amp;C&amp;Ф</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86"/>
  <sheetViews>
    <sheetView workbookViewId="0" topLeftCell="A70">
      <selection activeCell="D46" sqref="D46"/>
    </sheetView>
  </sheetViews>
  <sheetFormatPr defaultColWidth="8.875" defaultRowHeight="12.75"/>
  <cols>
    <col min="1" max="1" width="9.00390625" style="164" customWidth="1"/>
    <col min="2" max="2" width="5.75390625" style="164" customWidth="1"/>
    <col min="3" max="3" width="8.75390625" style="164" customWidth="1"/>
    <col min="4" max="4" width="52.875" style="164" customWidth="1"/>
    <col min="5" max="5" width="13.00390625" style="164" customWidth="1"/>
    <col min="6" max="6" width="12.75390625" style="164" customWidth="1"/>
    <col min="7" max="7" width="8.875" style="164" customWidth="1"/>
    <col min="8" max="8" width="13.875" style="164" bestFit="1" customWidth="1"/>
    <col min="9" max="9" width="8.875" style="164" customWidth="1"/>
    <col min="10" max="10" width="13.875" style="164" bestFit="1" customWidth="1"/>
    <col min="11" max="16384" width="8.875" style="164" customWidth="1"/>
  </cols>
  <sheetData>
    <row r="1" spans="1:6" ht="51.6" customHeight="1">
      <c r="A1" s="293" t="s">
        <v>1148</v>
      </c>
      <c r="B1" s="293"/>
      <c r="C1" s="293"/>
      <c r="D1" s="293"/>
      <c r="E1" s="293"/>
      <c r="F1" s="293"/>
    </row>
    <row r="2" spans="1:6" ht="54.75" customHeight="1">
      <c r="A2" s="294" t="s">
        <v>1115</v>
      </c>
      <c r="B2" s="294"/>
      <c r="C2" s="294"/>
      <c r="D2" s="294"/>
      <c r="E2" s="294"/>
      <c r="F2" s="294"/>
    </row>
    <row r="3" spans="1:6" ht="20.65" customHeight="1">
      <c r="A3" s="296" t="s">
        <v>180</v>
      </c>
      <c r="B3" s="296" t="s">
        <v>179</v>
      </c>
      <c r="C3" s="297" t="s">
        <v>21</v>
      </c>
      <c r="D3" s="298" t="s">
        <v>24</v>
      </c>
      <c r="E3" s="295" t="s">
        <v>686</v>
      </c>
      <c r="F3" s="295" t="s">
        <v>687</v>
      </c>
    </row>
    <row r="4" spans="1:6" ht="19.5" customHeight="1">
      <c r="A4" s="296" t="s">
        <v>93</v>
      </c>
      <c r="B4" s="296" t="s">
        <v>93</v>
      </c>
      <c r="C4" s="297" t="s">
        <v>93</v>
      </c>
      <c r="D4" s="298" t="s">
        <v>93</v>
      </c>
      <c r="E4" s="295"/>
      <c r="F4" s="295"/>
    </row>
    <row r="5" spans="1:6" ht="12.75" customHeight="1">
      <c r="A5" s="296" t="s">
        <v>93</v>
      </c>
      <c r="B5" s="296" t="s">
        <v>93</v>
      </c>
      <c r="C5" s="297" t="s">
        <v>93</v>
      </c>
      <c r="D5" s="298" t="s">
        <v>93</v>
      </c>
      <c r="E5" s="295"/>
      <c r="F5" s="295"/>
    </row>
    <row r="6" spans="1:6" ht="15.75" customHeight="1">
      <c r="A6" s="165" t="s">
        <v>6</v>
      </c>
      <c r="B6" s="165" t="s">
        <v>104</v>
      </c>
      <c r="C6" s="166" t="s">
        <v>105</v>
      </c>
      <c r="D6" s="167" t="s">
        <v>106</v>
      </c>
      <c r="E6" s="133">
        <v>5</v>
      </c>
      <c r="F6" s="133">
        <v>6</v>
      </c>
    </row>
    <row r="7" spans="1:6" ht="15" customHeight="1">
      <c r="A7" s="165" t="s">
        <v>93</v>
      </c>
      <c r="B7" s="165" t="s">
        <v>93</v>
      </c>
      <c r="C7" s="165" t="s">
        <v>93</v>
      </c>
      <c r="D7" s="168" t="s">
        <v>1</v>
      </c>
      <c r="E7" s="169">
        <f>E8+E18+E21+E26+E31+E36+E41+E46+E61+E66+E75</f>
        <v>756401.4</v>
      </c>
      <c r="F7" s="169">
        <f aca="true" t="shared" si="0" ref="F7">F8+F18+F21+F26+F31+F36+F41+F46+F61+F66+F75</f>
        <v>730465.5999999997</v>
      </c>
    </row>
    <row r="8" spans="1:6" ht="47.25">
      <c r="A8" s="170" t="s">
        <v>181</v>
      </c>
      <c r="B8" s="171" t="s">
        <v>93</v>
      </c>
      <c r="C8" s="171" t="s">
        <v>93</v>
      </c>
      <c r="D8" s="171" t="s">
        <v>1149</v>
      </c>
      <c r="E8" s="172">
        <f>E9+E12+E14+E16</f>
        <v>451729.8999999999</v>
      </c>
      <c r="F8" s="172">
        <f aca="true" t="shared" si="1" ref="F8">F9+F12+F14+F16</f>
        <v>449615.2999999999</v>
      </c>
    </row>
    <row r="9" spans="1:6" ht="47.25">
      <c r="A9" s="165" t="s">
        <v>181</v>
      </c>
      <c r="B9" s="165" t="s">
        <v>6</v>
      </c>
      <c r="C9" s="173" t="s">
        <v>93</v>
      </c>
      <c r="D9" s="174" t="s">
        <v>114</v>
      </c>
      <c r="E9" s="175">
        <f>E10+E11</f>
        <v>431299.99999999994</v>
      </c>
      <c r="F9" s="175">
        <f>F10+F11</f>
        <v>429214.99999999994</v>
      </c>
    </row>
    <row r="10" spans="1:6" ht="31.5">
      <c r="A10" s="165" t="s">
        <v>181</v>
      </c>
      <c r="B10" s="165" t="s">
        <v>6</v>
      </c>
      <c r="C10" s="165" t="s">
        <v>14</v>
      </c>
      <c r="D10" s="54" t="s">
        <v>504</v>
      </c>
      <c r="E10" s="175">
        <f>'№9'!D11+'№9'!D13+'№9'!D15+'№9'!D17+'№9'!D19+'№9'!D21+'№9'!D23+'№9'!D25+'№9'!D27+'№9'!D30+'№9'!D32+'№9'!D34+'№9'!D36+'№9'!D38+'№9'!D40+'№9'!D42+'№9'!D44+'№9'!D46+'№9'!D48+'№9'!D50+'№9'!D52+'№9'!D56+'№9'!D58+'№9'!D60+'№9'!D62+'№9'!D64+'№9'!D66+'№9'!D68+'№9'!D54</f>
        <v>431063.89999999997</v>
      </c>
      <c r="F10" s="175">
        <f>'№9'!E11+'№9'!E13+'№9'!E15+'№9'!E17+'№9'!E19+'№9'!E21+'№9'!E23+'№9'!E25+'№9'!E27+'№9'!E30+'№9'!E32+'№9'!E34+'№9'!E36+'№9'!E38+'№9'!E40+'№9'!E42+'№9'!E44+'№9'!E46+'№9'!E48+'№9'!E50+'№9'!E52+'№9'!E56+'№9'!E58+'№9'!E60+'№9'!E62+'№9'!E64+'№9'!E66+'№9'!E68+'№9'!E54</f>
        <v>428978.89999999997</v>
      </c>
    </row>
    <row r="11" spans="1:6" ht="47.25">
      <c r="A11" s="251" t="s">
        <v>181</v>
      </c>
      <c r="B11" s="251" t="s">
        <v>6</v>
      </c>
      <c r="C11" s="62" t="s">
        <v>7</v>
      </c>
      <c r="D11" s="68" t="s">
        <v>11</v>
      </c>
      <c r="E11" s="175">
        <f>'№9'!D29</f>
        <v>236.1</v>
      </c>
      <c r="F11" s="175">
        <f>'№9'!E29</f>
        <v>236.1</v>
      </c>
    </row>
    <row r="12" spans="1:6" ht="63">
      <c r="A12" s="165" t="s">
        <v>181</v>
      </c>
      <c r="B12" s="165" t="s">
        <v>104</v>
      </c>
      <c r="C12" s="173" t="s">
        <v>93</v>
      </c>
      <c r="D12" s="174" t="s">
        <v>452</v>
      </c>
      <c r="E12" s="175">
        <f>E13</f>
        <v>5618.1</v>
      </c>
      <c r="F12" s="175">
        <f aca="true" t="shared" si="2" ref="F12">F13</f>
        <v>5618.1</v>
      </c>
    </row>
    <row r="13" spans="1:6" ht="47.25">
      <c r="A13" s="165" t="s">
        <v>181</v>
      </c>
      <c r="B13" s="165" t="s">
        <v>104</v>
      </c>
      <c r="C13" s="165" t="s">
        <v>7</v>
      </c>
      <c r="D13" s="174" t="s">
        <v>11</v>
      </c>
      <c r="E13" s="175">
        <f>'№9'!D69</f>
        <v>5618.1</v>
      </c>
      <c r="F13" s="175">
        <f>'№9'!E69</f>
        <v>5618.1</v>
      </c>
    </row>
    <row r="14" spans="1:6" ht="94.5">
      <c r="A14" s="165" t="s">
        <v>181</v>
      </c>
      <c r="B14" s="165" t="s">
        <v>105</v>
      </c>
      <c r="C14" s="173" t="s">
        <v>93</v>
      </c>
      <c r="D14" s="174" t="s">
        <v>385</v>
      </c>
      <c r="E14" s="175">
        <f>E15</f>
        <v>807.0999999999999</v>
      </c>
      <c r="F14" s="175">
        <f aca="true" t="shared" si="3" ref="F14">F15</f>
        <v>807.1</v>
      </c>
    </row>
    <row r="15" spans="1:6" ht="31.5">
      <c r="A15" s="165" t="s">
        <v>181</v>
      </c>
      <c r="B15" s="165" t="s">
        <v>105</v>
      </c>
      <c r="C15" s="165" t="s">
        <v>25</v>
      </c>
      <c r="D15" s="174" t="s">
        <v>112</v>
      </c>
      <c r="E15" s="175">
        <f>'№9'!D88</f>
        <v>807.0999999999999</v>
      </c>
      <c r="F15" s="175">
        <f>'№9'!E88</f>
        <v>807.1</v>
      </c>
    </row>
    <row r="16" spans="1:6" ht="12.75">
      <c r="A16" s="165" t="s">
        <v>181</v>
      </c>
      <c r="B16" s="165" t="s">
        <v>109</v>
      </c>
      <c r="C16" s="173" t="s">
        <v>93</v>
      </c>
      <c r="D16" s="174" t="s">
        <v>2</v>
      </c>
      <c r="E16" s="175">
        <f>E17</f>
        <v>14004.699999999997</v>
      </c>
      <c r="F16" s="175">
        <f aca="true" t="shared" si="4" ref="F16">F17</f>
        <v>13975.099999999999</v>
      </c>
    </row>
    <row r="17" spans="1:6" ht="31.5">
      <c r="A17" s="165" t="s">
        <v>181</v>
      </c>
      <c r="B17" s="165" t="s">
        <v>109</v>
      </c>
      <c r="C17" s="165" t="s">
        <v>14</v>
      </c>
      <c r="D17" s="54" t="s">
        <v>504</v>
      </c>
      <c r="E17" s="175">
        <f>'№9'!D91</f>
        <v>14004.699999999997</v>
      </c>
      <c r="F17" s="175">
        <f>'№9'!E91</f>
        <v>13975.099999999999</v>
      </c>
    </row>
    <row r="18" spans="1:6" ht="47.25">
      <c r="A18" s="170" t="s">
        <v>182</v>
      </c>
      <c r="B18" s="171" t="s">
        <v>93</v>
      </c>
      <c r="C18" s="171" t="s">
        <v>93</v>
      </c>
      <c r="D18" s="171" t="s">
        <v>389</v>
      </c>
      <c r="E18" s="172">
        <f>E19</f>
        <v>43989.19999999999</v>
      </c>
      <c r="F18" s="172">
        <f aca="true" t="shared" si="5" ref="F18:F19">F19</f>
        <v>43854.3</v>
      </c>
    </row>
    <row r="19" spans="1:6" ht="47.25">
      <c r="A19" s="165" t="s">
        <v>182</v>
      </c>
      <c r="B19" s="165" t="s">
        <v>6</v>
      </c>
      <c r="C19" s="173" t="s">
        <v>93</v>
      </c>
      <c r="D19" s="174" t="s">
        <v>150</v>
      </c>
      <c r="E19" s="175">
        <f>E20</f>
        <v>43989.19999999999</v>
      </c>
      <c r="F19" s="175">
        <f t="shared" si="5"/>
        <v>43854.3</v>
      </c>
    </row>
    <row r="20" spans="1:6" ht="31.5">
      <c r="A20" s="165" t="s">
        <v>182</v>
      </c>
      <c r="B20" s="165" t="s">
        <v>6</v>
      </c>
      <c r="C20" s="165" t="s">
        <v>25</v>
      </c>
      <c r="D20" s="174" t="s">
        <v>112</v>
      </c>
      <c r="E20" s="175">
        <f>'№9'!D99</f>
        <v>43989.19999999999</v>
      </c>
      <c r="F20" s="175">
        <f>'№9'!E99</f>
        <v>43854.3</v>
      </c>
    </row>
    <row r="21" spans="1:6" ht="63">
      <c r="A21" s="170" t="s">
        <v>183</v>
      </c>
      <c r="B21" s="171" t="s">
        <v>93</v>
      </c>
      <c r="C21" s="171" t="s">
        <v>93</v>
      </c>
      <c r="D21" s="171" t="s">
        <v>447</v>
      </c>
      <c r="E21" s="172">
        <f>E22+E24</f>
        <v>31483.7</v>
      </c>
      <c r="F21" s="172">
        <f aca="true" t="shared" si="6" ref="F21">F22+F24</f>
        <v>31184.000000000004</v>
      </c>
    </row>
    <row r="22" spans="1:6" ht="31.5">
      <c r="A22" s="165" t="s">
        <v>183</v>
      </c>
      <c r="B22" s="165" t="s">
        <v>6</v>
      </c>
      <c r="C22" s="173" t="s">
        <v>93</v>
      </c>
      <c r="D22" s="174" t="s">
        <v>138</v>
      </c>
      <c r="E22" s="175">
        <f>E23</f>
        <v>29073.5</v>
      </c>
      <c r="F22" s="175">
        <f aca="true" t="shared" si="7" ref="F22">F23</f>
        <v>28773.800000000003</v>
      </c>
    </row>
    <row r="23" spans="1:6" ht="47.25">
      <c r="A23" s="165" t="s">
        <v>183</v>
      </c>
      <c r="B23" s="165" t="s">
        <v>6</v>
      </c>
      <c r="C23" s="165" t="s">
        <v>7</v>
      </c>
      <c r="D23" s="174" t="s">
        <v>11</v>
      </c>
      <c r="E23" s="175">
        <f>'№9'!D141</f>
        <v>29073.5</v>
      </c>
      <c r="F23" s="175">
        <f>'№9'!E141</f>
        <v>28773.800000000003</v>
      </c>
    </row>
    <row r="24" spans="1:6" ht="12.75">
      <c r="A24" s="165" t="s">
        <v>183</v>
      </c>
      <c r="B24" s="165" t="s">
        <v>109</v>
      </c>
      <c r="C24" s="173" t="s">
        <v>93</v>
      </c>
      <c r="D24" s="174" t="s">
        <v>2</v>
      </c>
      <c r="E24" s="175">
        <f>E25</f>
        <v>2410.2</v>
      </c>
      <c r="F24" s="175">
        <f aca="true" t="shared" si="8" ref="F24">F25</f>
        <v>2410.2</v>
      </c>
    </row>
    <row r="25" spans="1:6" ht="47.25">
      <c r="A25" s="165" t="s">
        <v>183</v>
      </c>
      <c r="B25" s="165" t="s">
        <v>109</v>
      </c>
      <c r="C25" s="165" t="s">
        <v>7</v>
      </c>
      <c r="D25" s="174" t="s">
        <v>11</v>
      </c>
      <c r="E25" s="175">
        <f>'№9'!D166</f>
        <v>2410.2</v>
      </c>
      <c r="F25" s="175">
        <f>'№9'!E166</f>
        <v>2410.2</v>
      </c>
    </row>
    <row r="26" spans="1:6" ht="78.75">
      <c r="A26" s="170" t="s">
        <v>184</v>
      </c>
      <c r="B26" s="171" t="s">
        <v>93</v>
      </c>
      <c r="C26" s="171" t="s">
        <v>93</v>
      </c>
      <c r="D26" s="171" t="s">
        <v>440</v>
      </c>
      <c r="E26" s="172">
        <f>E27+E29</f>
        <v>8899.8</v>
      </c>
      <c r="F26" s="172">
        <f aca="true" t="shared" si="9" ref="F26">F27+F29</f>
        <v>8899.8</v>
      </c>
    </row>
    <row r="27" spans="1:6" ht="31.5">
      <c r="A27" s="165" t="s">
        <v>184</v>
      </c>
      <c r="B27" s="165" t="s">
        <v>104</v>
      </c>
      <c r="C27" s="173" t="s">
        <v>93</v>
      </c>
      <c r="D27" s="174" t="s">
        <v>168</v>
      </c>
      <c r="E27" s="175">
        <f>E28</f>
        <v>3546.8</v>
      </c>
      <c r="F27" s="175">
        <f aca="true" t="shared" si="10" ref="F27">F28</f>
        <v>3546.8</v>
      </c>
    </row>
    <row r="28" spans="1:6" ht="47.25">
      <c r="A28" s="165" t="s">
        <v>184</v>
      </c>
      <c r="B28" s="165" t="s">
        <v>104</v>
      </c>
      <c r="C28" s="165" t="s">
        <v>7</v>
      </c>
      <c r="D28" s="174" t="s">
        <v>11</v>
      </c>
      <c r="E28" s="175">
        <f>'№9'!D170</f>
        <v>3546.8</v>
      </c>
      <c r="F28" s="175">
        <f>'№9'!E170</f>
        <v>3546.8</v>
      </c>
    </row>
    <row r="29" spans="1:6" ht="63">
      <c r="A29" s="165" t="s">
        <v>184</v>
      </c>
      <c r="B29" s="165" t="s">
        <v>105</v>
      </c>
      <c r="C29" s="173" t="s">
        <v>93</v>
      </c>
      <c r="D29" s="174" t="s">
        <v>441</v>
      </c>
      <c r="E29" s="175">
        <f>E30</f>
        <v>5353</v>
      </c>
      <c r="F29" s="175">
        <f aca="true" t="shared" si="11" ref="F29">F30</f>
        <v>5353</v>
      </c>
    </row>
    <row r="30" spans="1:6" ht="31.5">
      <c r="A30" s="165" t="s">
        <v>184</v>
      </c>
      <c r="B30" s="165" t="s">
        <v>105</v>
      </c>
      <c r="C30" s="165" t="s">
        <v>58</v>
      </c>
      <c r="D30" s="174" t="s">
        <v>432</v>
      </c>
      <c r="E30" s="175">
        <f>'№9'!D177</f>
        <v>5353</v>
      </c>
      <c r="F30" s="175">
        <f>'№9'!E177</f>
        <v>5353</v>
      </c>
    </row>
    <row r="31" spans="1:6" ht="63">
      <c r="A31" s="170" t="s">
        <v>145</v>
      </c>
      <c r="B31" s="171" t="s">
        <v>93</v>
      </c>
      <c r="C31" s="171" t="s">
        <v>93</v>
      </c>
      <c r="D31" s="171" t="s">
        <v>595</v>
      </c>
      <c r="E31" s="172">
        <f>E32+E34</f>
        <v>25204.400000000005</v>
      </c>
      <c r="F31" s="172">
        <f aca="true" t="shared" si="12" ref="F31">F32+F34</f>
        <v>21451.000000000004</v>
      </c>
    </row>
    <row r="32" spans="1:6" ht="47.25">
      <c r="A32" s="165" t="s">
        <v>145</v>
      </c>
      <c r="B32" s="165" t="s">
        <v>104</v>
      </c>
      <c r="C32" s="173" t="s">
        <v>93</v>
      </c>
      <c r="D32" s="174" t="s">
        <v>372</v>
      </c>
      <c r="E32" s="175">
        <f>E33</f>
        <v>3521</v>
      </c>
      <c r="F32" s="175">
        <f aca="true" t="shared" si="13" ref="F32">F33</f>
        <v>228</v>
      </c>
    </row>
    <row r="33" spans="1:6" ht="31.5">
      <c r="A33" s="165" t="s">
        <v>145</v>
      </c>
      <c r="B33" s="165" t="s">
        <v>104</v>
      </c>
      <c r="C33" s="165" t="s">
        <v>25</v>
      </c>
      <c r="D33" s="174" t="s">
        <v>112</v>
      </c>
      <c r="E33" s="175">
        <f>'№9'!D179</f>
        <v>3521</v>
      </c>
      <c r="F33" s="175">
        <f>'№9'!E179</f>
        <v>228</v>
      </c>
    </row>
    <row r="34" spans="1:6" ht="47.25">
      <c r="A34" s="165" t="s">
        <v>145</v>
      </c>
      <c r="B34" s="165" t="s">
        <v>106</v>
      </c>
      <c r="C34" s="173" t="s">
        <v>93</v>
      </c>
      <c r="D34" s="174" t="s">
        <v>170</v>
      </c>
      <c r="E34" s="175">
        <f>E35</f>
        <v>21683.400000000005</v>
      </c>
      <c r="F34" s="175">
        <f aca="true" t="shared" si="14" ref="F34">F35</f>
        <v>21223.000000000004</v>
      </c>
    </row>
    <row r="35" spans="1:6" ht="31.5">
      <c r="A35" s="165" t="s">
        <v>145</v>
      </c>
      <c r="B35" s="165" t="s">
        <v>106</v>
      </c>
      <c r="C35" s="165" t="s">
        <v>25</v>
      </c>
      <c r="D35" s="174" t="s">
        <v>112</v>
      </c>
      <c r="E35" s="175">
        <f>'№9'!D184</f>
        <v>21683.400000000005</v>
      </c>
      <c r="F35" s="175">
        <f>'№9'!E184</f>
        <v>21223.000000000004</v>
      </c>
    </row>
    <row r="36" spans="1:6" ht="63">
      <c r="A36" s="170" t="s">
        <v>185</v>
      </c>
      <c r="B36" s="171" t="s">
        <v>93</v>
      </c>
      <c r="C36" s="171" t="s">
        <v>93</v>
      </c>
      <c r="D36" s="171" t="s">
        <v>350</v>
      </c>
      <c r="E36" s="172">
        <f>E37+E39</f>
        <v>112527.80000000002</v>
      </c>
      <c r="F36" s="172">
        <f aca="true" t="shared" si="15" ref="F36">F37+F39</f>
        <v>96568.70000000001</v>
      </c>
    </row>
    <row r="37" spans="1:6" ht="47.25">
      <c r="A37" s="165" t="s">
        <v>185</v>
      </c>
      <c r="B37" s="165" t="s">
        <v>6</v>
      </c>
      <c r="C37" s="173" t="s">
        <v>93</v>
      </c>
      <c r="D37" s="54" t="s">
        <v>492</v>
      </c>
      <c r="E37" s="175">
        <f>E38</f>
        <v>108599.80000000002</v>
      </c>
      <c r="F37" s="175">
        <f aca="true" t="shared" si="16" ref="F37">F38</f>
        <v>92640.70000000001</v>
      </c>
    </row>
    <row r="38" spans="1:6" ht="31.5">
      <c r="A38" s="165" t="s">
        <v>185</v>
      </c>
      <c r="B38" s="165" t="s">
        <v>6</v>
      </c>
      <c r="C38" s="165" t="s">
        <v>25</v>
      </c>
      <c r="D38" s="174" t="s">
        <v>112</v>
      </c>
      <c r="E38" s="175">
        <f>'№9'!D206</f>
        <v>108599.80000000002</v>
      </c>
      <c r="F38" s="175">
        <f>'№9'!E206</f>
        <v>92640.70000000001</v>
      </c>
    </row>
    <row r="39" spans="1:6" ht="47.25">
      <c r="A39" s="165" t="s">
        <v>185</v>
      </c>
      <c r="B39" s="165" t="s">
        <v>104</v>
      </c>
      <c r="C39" s="173" t="s">
        <v>93</v>
      </c>
      <c r="D39" s="174" t="s">
        <v>358</v>
      </c>
      <c r="E39" s="175">
        <f>E40</f>
        <v>3928</v>
      </c>
      <c r="F39" s="175">
        <f aca="true" t="shared" si="17" ref="F39">F40</f>
        <v>3928</v>
      </c>
    </row>
    <row r="40" spans="1:6" ht="31.5">
      <c r="A40" s="165" t="s">
        <v>185</v>
      </c>
      <c r="B40" s="165" t="s">
        <v>104</v>
      </c>
      <c r="C40" s="165" t="s">
        <v>25</v>
      </c>
      <c r="D40" s="174" t="s">
        <v>112</v>
      </c>
      <c r="E40" s="175">
        <f>'№9'!D227</f>
        <v>3928</v>
      </c>
      <c r="F40" s="175">
        <f>'№9'!E227</f>
        <v>3928</v>
      </c>
    </row>
    <row r="41" spans="1:6" ht="63">
      <c r="A41" s="170" t="s">
        <v>186</v>
      </c>
      <c r="B41" s="171" t="s">
        <v>93</v>
      </c>
      <c r="C41" s="171" t="s">
        <v>93</v>
      </c>
      <c r="D41" s="171" t="s">
        <v>362</v>
      </c>
      <c r="E41" s="172">
        <f>E42+E44</f>
        <v>575.9</v>
      </c>
      <c r="F41" s="172">
        <f aca="true" t="shared" si="18" ref="F41">F42+F44</f>
        <v>575.9</v>
      </c>
    </row>
    <row r="42" spans="1:6" ht="47.25">
      <c r="A42" s="165" t="s">
        <v>186</v>
      </c>
      <c r="B42" s="165" t="s">
        <v>6</v>
      </c>
      <c r="C42" s="173" t="s">
        <v>93</v>
      </c>
      <c r="D42" s="174" t="s">
        <v>163</v>
      </c>
      <c r="E42" s="175">
        <f>E43</f>
        <v>65.3</v>
      </c>
      <c r="F42" s="175">
        <f aca="true" t="shared" si="19" ref="F42">F43</f>
        <v>65.3</v>
      </c>
    </row>
    <row r="43" spans="1:6" ht="31.5">
      <c r="A43" s="165" t="s">
        <v>186</v>
      </c>
      <c r="B43" s="165" t="s">
        <v>6</v>
      </c>
      <c r="C43" s="165" t="s">
        <v>25</v>
      </c>
      <c r="D43" s="174" t="s">
        <v>112</v>
      </c>
      <c r="E43" s="175">
        <f>'№9'!D235</f>
        <v>65.3</v>
      </c>
      <c r="F43" s="175">
        <f>'№9'!E235</f>
        <v>65.3</v>
      </c>
    </row>
    <row r="44" spans="1:6" ht="31.5">
      <c r="A44" s="165" t="s">
        <v>186</v>
      </c>
      <c r="B44" s="165" t="s">
        <v>104</v>
      </c>
      <c r="C44" s="173" t="s">
        <v>93</v>
      </c>
      <c r="D44" s="174" t="s">
        <v>165</v>
      </c>
      <c r="E44" s="175">
        <f>E45</f>
        <v>510.59999999999997</v>
      </c>
      <c r="F44" s="175">
        <f aca="true" t="shared" si="20" ref="F44">F45</f>
        <v>510.6</v>
      </c>
    </row>
    <row r="45" spans="1:6" ht="31.5">
      <c r="A45" s="165" t="s">
        <v>186</v>
      </c>
      <c r="B45" s="165" t="s">
        <v>104</v>
      </c>
      <c r="C45" s="165" t="s">
        <v>25</v>
      </c>
      <c r="D45" s="174" t="s">
        <v>112</v>
      </c>
      <c r="E45" s="175">
        <f>'№9'!D242</f>
        <v>510.59999999999997</v>
      </c>
      <c r="F45" s="175">
        <f>'№9'!E242</f>
        <v>510.6</v>
      </c>
    </row>
    <row r="46" spans="1:6" ht="63">
      <c r="A46" s="170" t="s">
        <v>132</v>
      </c>
      <c r="B46" s="171" t="s">
        <v>93</v>
      </c>
      <c r="C46" s="171" t="s">
        <v>93</v>
      </c>
      <c r="D46" s="171" t="s">
        <v>1150</v>
      </c>
      <c r="E46" s="172">
        <f>E47+E49+E51+E53+E55+E57+E59</f>
        <v>51659.8</v>
      </c>
      <c r="F46" s="172">
        <f aca="true" t="shared" si="21" ref="F46">F47+F49+F51+F53+F55+F57+F59</f>
        <v>50633.79999999999</v>
      </c>
    </row>
    <row r="47" spans="1:6" ht="78.75">
      <c r="A47" s="165" t="s">
        <v>132</v>
      </c>
      <c r="B47" s="165" t="s">
        <v>6</v>
      </c>
      <c r="C47" s="173" t="s">
        <v>93</v>
      </c>
      <c r="D47" s="174" t="s">
        <v>332</v>
      </c>
      <c r="E47" s="175">
        <f>E48</f>
        <v>1069.7</v>
      </c>
      <c r="F47" s="175">
        <f aca="true" t="shared" si="22" ref="F47">F48</f>
        <v>646</v>
      </c>
    </row>
    <row r="48" spans="1:6" ht="31.5">
      <c r="A48" s="165" t="s">
        <v>132</v>
      </c>
      <c r="B48" s="165" t="s">
        <v>6</v>
      </c>
      <c r="C48" s="165" t="s">
        <v>25</v>
      </c>
      <c r="D48" s="174" t="s">
        <v>112</v>
      </c>
      <c r="E48" s="175">
        <f>'№9'!D248</f>
        <v>1069.7</v>
      </c>
      <c r="F48" s="175">
        <f>'№9'!E248</f>
        <v>646</v>
      </c>
    </row>
    <row r="49" spans="1:6" ht="110.25">
      <c r="A49" s="165" t="s">
        <v>132</v>
      </c>
      <c r="B49" s="165" t="s">
        <v>104</v>
      </c>
      <c r="C49" s="173" t="s">
        <v>93</v>
      </c>
      <c r="D49" s="174" t="s">
        <v>157</v>
      </c>
      <c r="E49" s="175">
        <f>E50</f>
        <v>76.5</v>
      </c>
      <c r="F49" s="175">
        <f aca="true" t="shared" si="23" ref="F49">F50</f>
        <v>75.5</v>
      </c>
    </row>
    <row r="50" spans="1:6" ht="31.5">
      <c r="A50" s="165" t="s">
        <v>132</v>
      </c>
      <c r="B50" s="165" t="s">
        <v>104</v>
      </c>
      <c r="C50" s="165" t="s">
        <v>25</v>
      </c>
      <c r="D50" s="174" t="s">
        <v>112</v>
      </c>
      <c r="E50" s="175">
        <f>'№9'!D253</f>
        <v>76.5</v>
      </c>
      <c r="F50" s="175">
        <f>'№9'!E253</f>
        <v>75.5</v>
      </c>
    </row>
    <row r="51" spans="1:6" ht="31.5">
      <c r="A51" s="165" t="s">
        <v>132</v>
      </c>
      <c r="B51" s="165" t="s">
        <v>105</v>
      </c>
      <c r="C51" s="173" t="s">
        <v>93</v>
      </c>
      <c r="D51" s="174" t="s">
        <v>160</v>
      </c>
      <c r="E51" s="175">
        <f>E52</f>
        <v>205.7</v>
      </c>
      <c r="F51" s="175">
        <f aca="true" t="shared" si="24" ref="F51">F52</f>
        <v>146.39999999999998</v>
      </c>
    </row>
    <row r="52" spans="1:6" ht="31.5">
      <c r="A52" s="165" t="s">
        <v>132</v>
      </c>
      <c r="B52" s="165" t="s">
        <v>105</v>
      </c>
      <c r="C52" s="165" t="s">
        <v>25</v>
      </c>
      <c r="D52" s="174" t="s">
        <v>112</v>
      </c>
      <c r="E52" s="175">
        <f>'№9'!D258</f>
        <v>205.7</v>
      </c>
      <c r="F52" s="175">
        <f>'№9'!E258</f>
        <v>146.39999999999998</v>
      </c>
    </row>
    <row r="53" spans="1:6" ht="47.25">
      <c r="A53" s="165" t="s">
        <v>132</v>
      </c>
      <c r="B53" s="165">
        <v>4</v>
      </c>
      <c r="C53" s="173" t="s">
        <v>93</v>
      </c>
      <c r="D53" s="174" t="s">
        <v>161</v>
      </c>
      <c r="E53" s="175">
        <f>E54</f>
        <v>6537.3</v>
      </c>
      <c r="F53" s="175">
        <f aca="true" t="shared" si="25" ref="F53">F54</f>
        <v>6537.3</v>
      </c>
    </row>
    <row r="54" spans="1:6" ht="31.5">
      <c r="A54" s="165" t="s">
        <v>132</v>
      </c>
      <c r="B54" s="165">
        <v>4</v>
      </c>
      <c r="C54" s="165" t="s">
        <v>25</v>
      </c>
      <c r="D54" s="174" t="s">
        <v>112</v>
      </c>
      <c r="E54" s="175">
        <f>'№9'!D263</f>
        <v>6537.3</v>
      </c>
      <c r="F54" s="175">
        <f>'№9'!E263</f>
        <v>6537.3</v>
      </c>
    </row>
    <row r="55" spans="1:6" ht="63">
      <c r="A55" s="165" t="s">
        <v>132</v>
      </c>
      <c r="B55" s="165" t="s">
        <v>107</v>
      </c>
      <c r="C55" s="173" t="s">
        <v>93</v>
      </c>
      <c r="D55" s="174" t="s">
        <v>154</v>
      </c>
      <c r="E55" s="175">
        <f>E56</f>
        <v>3024.7</v>
      </c>
      <c r="F55" s="175">
        <f aca="true" t="shared" si="26" ref="F55">F56</f>
        <v>3001.7</v>
      </c>
    </row>
    <row r="56" spans="1:6" ht="31.5">
      <c r="A56" s="165" t="s">
        <v>132</v>
      </c>
      <c r="B56" s="165" t="s">
        <v>107</v>
      </c>
      <c r="C56" s="165" t="s">
        <v>25</v>
      </c>
      <c r="D56" s="174" t="s">
        <v>112</v>
      </c>
      <c r="E56" s="175">
        <f>'№9'!D266</f>
        <v>3024.7</v>
      </c>
      <c r="F56" s="175">
        <f>'№9'!E266</f>
        <v>3001.7</v>
      </c>
    </row>
    <row r="57" spans="1:6" ht="31.5">
      <c r="A57" s="165" t="s">
        <v>132</v>
      </c>
      <c r="B57" s="165" t="s">
        <v>108</v>
      </c>
      <c r="C57" s="173" t="s">
        <v>93</v>
      </c>
      <c r="D57" s="174" t="s">
        <v>153</v>
      </c>
      <c r="E57" s="175">
        <f>E58</f>
        <v>1593.3</v>
      </c>
      <c r="F57" s="175">
        <f aca="true" t="shared" si="27" ref="F57">F58</f>
        <v>1479.4</v>
      </c>
    </row>
    <row r="58" spans="1:6" ht="31.5">
      <c r="A58" s="165" t="s">
        <v>132</v>
      </c>
      <c r="B58" s="165" t="s">
        <v>108</v>
      </c>
      <c r="C58" s="165" t="s">
        <v>25</v>
      </c>
      <c r="D58" s="174" t="s">
        <v>112</v>
      </c>
      <c r="E58" s="175">
        <f>'№9'!D279</f>
        <v>1593.3</v>
      </c>
      <c r="F58" s="175">
        <f>'№9'!E279</f>
        <v>1479.4</v>
      </c>
    </row>
    <row r="59" spans="1:6" ht="12.75">
      <c r="A59" s="165" t="s">
        <v>132</v>
      </c>
      <c r="B59" s="165" t="s">
        <v>109</v>
      </c>
      <c r="C59" s="173" t="s">
        <v>93</v>
      </c>
      <c r="D59" s="174" t="s">
        <v>2</v>
      </c>
      <c r="E59" s="175">
        <f>E60</f>
        <v>39152.6</v>
      </c>
      <c r="F59" s="175">
        <f aca="true" t="shared" si="28" ref="F59">F60</f>
        <v>38747.49999999999</v>
      </c>
    </row>
    <row r="60" spans="1:6" ht="31.5">
      <c r="A60" s="165" t="s">
        <v>132</v>
      </c>
      <c r="B60" s="165" t="s">
        <v>109</v>
      </c>
      <c r="C60" s="165" t="s">
        <v>25</v>
      </c>
      <c r="D60" s="174" t="s">
        <v>112</v>
      </c>
      <c r="E60" s="175">
        <f>'№9'!D286</f>
        <v>39152.6</v>
      </c>
      <c r="F60" s="175">
        <f>'№9'!E286</f>
        <v>38747.49999999999</v>
      </c>
    </row>
    <row r="61" spans="1:6" ht="78.75">
      <c r="A61" s="170" t="s">
        <v>187</v>
      </c>
      <c r="B61" s="171" t="s">
        <v>93</v>
      </c>
      <c r="C61" s="171" t="s">
        <v>93</v>
      </c>
      <c r="D61" s="171" t="s">
        <v>433</v>
      </c>
      <c r="E61" s="172">
        <f>E62+E64</f>
        <v>11223.2</v>
      </c>
      <c r="F61" s="172">
        <f aca="true" t="shared" si="29" ref="F61">F62+F64</f>
        <v>10257</v>
      </c>
    </row>
    <row r="62" spans="1:6" ht="47.25">
      <c r="A62" s="165" t="s">
        <v>187</v>
      </c>
      <c r="B62" s="165" t="s">
        <v>6</v>
      </c>
      <c r="C62" s="173" t="s">
        <v>93</v>
      </c>
      <c r="D62" s="174" t="s">
        <v>146</v>
      </c>
      <c r="E62" s="175">
        <f>E63</f>
        <v>5387.000000000001</v>
      </c>
      <c r="F62" s="175">
        <f aca="true" t="shared" si="30" ref="F62">F63</f>
        <v>4505.799999999999</v>
      </c>
    </row>
    <row r="63" spans="1:6" ht="47.25">
      <c r="A63" s="165" t="s">
        <v>187</v>
      </c>
      <c r="B63" s="165" t="s">
        <v>6</v>
      </c>
      <c r="C63" s="165" t="s">
        <v>58</v>
      </c>
      <c r="D63" s="54" t="s">
        <v>521</v>
      </c>
      <c r="E63" s="175">
        <f>'№9'!D302</f>
        <v>5387.000000000001</v>
      </c>
      <c r="F63" s="175">
        <f>'№9'!E302</f>
        <v>4505.799999999999</v>
      </c>
    </row>
    <row r="64" spans="1:6" ht="12.75">
      <c r="A64" s="165" t="s">
        <v>187</v>
      </c>
      <c r="B64" s="165" t="s">
        <v>109</v>
      </c>
      <c r="C64" s="173" t="s">
        <v>93</v>
      </c>
      <c r="D64" s="174" t="s">
        <v>2</v>
      </c>
      <c r="E64" s="175">
        <f>E65</f>
        <v>5836.2</v>
      </c>
      <c r="F64" s="175">
        <f aca="true" t="shared" si="31" ref="F64">F65</f>
        <v>5751.2</v>
      </c>
    </row>
    <row r="65" spans="1:6" ht="47.25">
      <c r="A65" s="165" t="s">
        <v>187</v>
      </c>
      <c r="B65" s="165" t="s">
        <v>109</v>
      </c>
      <c r="C65" s="165" t="s">
        <v>58</v>
      </c>
      <c r="D65" s="54" t="s">
        <v>521</v>
      </c>
      <c r="E65" s="175">
        <f>'№9'!D311</f>
        <v>5836.2</v>
      </c>
      <c r="F65" s="175">
        <f>'№9'!E311</f>
        <v>5751.2</v>
      </c>
    </row>
    <row r="66" spans="1:6" ht="50.25" customHeight="1">
      <c r="A66" s="170" t="s">
        <v>110</v>
      </c>
      <c r="B66" s="171" t="s">
        <v>93</v>
      </c>
      <c r="C66" s="171" t="s">
        <v>93</v>
      </c>
      <c r="D66" s="171" t="s">
        <v>410</v>
      </c>
      <c r="E66" s="172">
        <f>E67+E69+E71+E73</f>
        <v>11188</v>
      </c>
      <c r="F66" s="172">
        <f aca="true" t="shared" si="32" ref="F66">F67+F69+F71+F73</f>
        <v>10951.6</v>
      </c>
    </row>
    <row r="67" spans="1:6" ht="31.5">
      <c r="A67" s="165" t="s">
        <v>110</v>
      </c>
      <c r="B67" s="165" t="s">
        <v>6</v>
      </c>
      <c r="C67" s="173" t="s">
        <v>93</v>
      </c>
      <c r="D67" s="174" t="s">
        <v>415</v>
      </c>
      <c r="E67" s="175">
        <f>E68</f>
        <v>1114.7</v>
      </c>
      <c r="F67" s="175">
        <f aca="true" t="shared" si="33" ref="F67">F68</f>
        <v>884</v>
      </c>
    </row>
    <row r="68" spans="1:6" ht="31.5">
      <c r="A68" s="165" t="s">
        <v>110</v>
      </c>
      <c r="B68" s="165" t="s">
        <v>6</v>
      </c>
      <c r="C68" s="165" t="s">
        <v>60</v>
      </c>
      <c r="D68" s="54" t="s">
        <v>574</v>
      </c>
      <c r="E68" s="175">
        <f>'№9'!D315</f>
        <v>1114.7</v>
      </c>
      <c r="F68" s="175">
        <f>'№9'!E315</f>
        <v>884</v>
      </c>
    </row>
    <row r="69" spans="1:6" ht="47.25">
      <c r="A69" s="165" t="s">
        <v>110</v>
      </c>
      <c r="B69" s="165" t="s">
        <v>104</v>
      </c>
      <c r="C69" s="173" t="s">
        <v>93</v>
      </c>
      <c r="D69" s="174" t="s">
        <v>425</v>
      </c>
      <c r="E69" s="175">
        <f>E70</f>
        <v>525.5</v>
      </c>
      <c r="F69" s="175">
        <f aca="true" t="shared" si="34" ref="F69">F70</f>
        <v>520.2</v>
      </c>
    </row>
    <row r="70" spans="1:6" ht="31.5">
      <c r="A70" s="165" t="s">
        <v>110</v>
      </c>
      <c r="B70" s="165" t="s">
        <v>104</v>
      </c>
      <c r="C70" s="165" t="s">
        <v>60</v>
      </c>
      <c r="D70" s="54" t="s">
        <v>574</v>
      </c>
      <c r="E70" s="175">
        <f>'№9'!D318</f>
        <v>525.5</v>
      </c>
      <c r="F70" s="175">
        <f>'№9'!E318</f>
        <v>520.2</v>
      </c>
    </row>
    <row r="71" spans="1:6" ht="16.5" customHeight="1">
      <c r="A71" s="165" t="s">
        <v>110</v>
      </c>
      <c r="B71" s="165" t="s">
        <v>105</v>
      </c>
      <c r="C71" s="173" t="s">
        <v>93</v>
      </c>
      <c r="D71" s="174" t="s">
        <v>129</v>
      </c>
      <c r="E71" s="175">
        <f>E72</f>
        <v>26.3</v>
      </c>
      <c r="F71" s="175">
        <f aca="true" t="shared" si="35" ref="F71">F72</f>
        <v>26.3</v>
      </c>
    </row>
    <row r="72" spans="1:6" ht="31.5">
      <c r="A72" s="165" t="s">
        <v>110</v>
      </c>
      <c r="B72" s="165" t="s">
        <v>105</v>
      </c>
      <c r="C72" s="165" t="s">
        <v>60</v>
      </c>
      <c r="D72" s="54" t="s">
        <v>574</v>
      </c>
      <c r="E72" s="175">
        <f>'№9'!D321</f>
        <v>26.3</v>
      </c>
      <c r="F72" s="175">
        <f>'№9'!E321</f>
        <v>26.3</v>
      </c>
    </row>
    <row r="73" spans="1:6" ht="12.75">
      <c r="A73" s="165" t="s">
        <v>110</v>
      </c>
      <c r="B73" s="165" t="s">
        <v>109</v>
      </c>
      <c r="C73" s="173" t="s">
        <v>93</v>
      </c>
      <c r="D73" s="174" t="s">
        <v>2</v>
      </c>
      <c r="E73" s="175">
        <f>E74</f>
        <v>9521.5</v>
      </c>
      <c r="F73" s="175">
        <f aca="true" t="shared" si="36" ref="F73">F74</f>
        <v>9521.1</v>
      </c>
    </row>
    <row r="74" spans="1:6" ht="31.5">
      <c r="A74" s="165" t="s">
        <v>110</v>
      </c>
      <c r="B74" s="165" t="s">
        <v>109</v>
      </c>
      <c r="C74" s="165" t="s">
        <v>60</v>
      </c>
      <c r="D74" s="54" t="s">
        <v>574</v>
      </c>
      <c r="E74" s="175">
        <f>'№9'!D324</f>
        <v>9521.5</v>
      </c>
      <c r="F74" s="175">
        <f>'№9'!E324</f>
        <v>9521.1</v>
      </c>
    </row>
    <row r="75" spans="1:6" ht="31.5">
      <c r="A75" s="170" t="s">
        <v>188</v>
      </c>
      <c r="B75" s="171" t="s">
        <v>93</v>
      </c>
      <c r="C75" s="171" t="s">
        <v>93</v>
      </c>
      <c r="D75" s="171" t="s">
        <v>413</v>
      </c>
      <c r="E75" s="172">
        <f>E76+E79+E85+E81</f>
        <v>7919.7</v>
      </c>
      <c r="F75" s="172">
        <f>F76+F79+F85+F81</f>
        <v>6474.2</v>
      </c>
    </row>
    <row r="76" spans="1:6" ht="12.75">
      <c r="A76" s="165" t="s">
        <v>188</v>
      </c>
      <c r="B76" s="165" t="s">
        <v>104</v>
      </c>
      <c r="C76" s="173" t="s">
        <v>93</v>
      </c>
      <c r="D76" s="174" t="s">
        <v>13</v>
      </c>
      <c r="E76" s="175">
        <f>E77+E78</f>
        <v>2000</v>
      </c>
      <c r="F76" s="175">
        <f aca="true" t="shared" si="37" ref="F76">F77+F78</f>
        <v>598.1999999999999</v>
      </c>
    </row>
    <row r="77" spans="1:6" ht="31.5">
      <c r="A77" s="165" t="s">
        <v>188</v>
      </c>
      <c r="B77" s="165" t="s">
        <v>104</v>
      </c>
      <c r="C77" s="165" t="s">
        <v>60</v>
      </c>
      <c r="D77" s="54" t="s">
        <v>574</v>
      </c>
      <c r="E77" s="175">
        <f>'№9'!D330</f>
        <v>1401.2</v>
      </c>
      <c r="F77" s="175">
        <f>'№9'!E330</f>
        <v>0</v>
      </c>
    </row>
    <row r="78" spans="1:6" ht="31.5">
      <c r="A78" s="165" t="s">
        <v>188</v>
      </c>
      <c r="B78" s="165" t="s">
        <v>104</v>
      </c>
      <c r="C78" s="165" t="s">
        <v>25</v>
      </c>
      <c r="D78" s="174" t="s">
        <v>112</v>
      </c>
      <c r="E78" s="175">
        <f>'№9'!D331</f>
        <v>598.8</v>
      </c>
      <c r="F78" s="175">
        <f>'№9'!E331</f>
        <v>598.1999999999999</v>
      </c>
    </row>
    <row r="79" spans="1:6" ht="47.25">
      <c r="A79" s="165" t="s">
        <v>188</v>
      </c>
      <c r="B79" s="165" t="s">
        <v>106</v>
      </c>
      <c r="C79" s="173" t="s">
        <v>93</v>
      </c>
      <c r="D79" s="174" t="s">
        <v>421</v>
      </c>
      <c r="E79" s="175">
        <f>E80</f>
        <v>910.1</v>
      </c>
      <c r="F79" s="175">
        <f aca="true" t="shared" si="38" ref="F79">F80</f>
        <v>910.1</v>
      </c>
    </row>
    <row r="80" spans="1:6" ht="31.5">
      <c r="A80" s="165" t="s">
        <v>188</v>
      </c>
      <c r="B80" s="165" t="s">
        <v>106</v>
      </c>
      <c r="C80" s="165" t="s">
        <v>25</v>
      </c>
      <c r="D80" s="174" t="s">
        <v>112</v>
      </c>
      <c r="E80" s="175">
        <f>'№9'!D333+'№9'!D335+'№9'!D337</f>
        <v>910.1</v>
      </c>
      <c r="F80" s="175">
        <f>'№9'!E333+'№9'!E335+'№9'!E337</f>
        <v>910.1</v>
      </c>
    </row>
    <row r="81" spans="1:6" ht="47.25">
      <c r="A81" s="61">
        <v>99</v>
      </c>
      <c r="B81" s="62" t="s">
        <v>107</v>
      </c>
      <c r="C81" s="15"/>
      <c r="D81" s="68" t="s">
        <v>602</v>
      </c>
      <c r="E81" s="175">
        <f>E82+E83+E84</f>
        <v>950</v>
      </c>
      <c r="F81" s="175">
        <f aca="true" t="shared" si="39" ref="F81">F82+F83+F84</f>
        <v>950</v>
      </c>
    </row>
    <row r="82" spans="1:6" ht="31.5">
      <c r="A82" s="61">
        <v>99</v>
      </c>
      <c r="B82" s="62" t="s">
        <v>107</v>
      </c>
      <c r="C82" s="165" t="s">
        <v>25</v>
      </c>
      <c r="D82" s="174" t="s">
        <v>112</v>
      </c>
      <c r="E82" s="175">
        <f>'№9'!D341</f>
        <v>569.6</v>
      </c>
      <c r="F82" s="175">
        <f>'№9'!E341</f>
        <v>569.6</v>
      </c>
    </row>
    <row r="83" spans="1:6" ht="47.25">
      <c r="A83" s="61">
        <v>99</v>
      </c>
      <c r="B83" s="62" t="s">
        <v>107</v>
      </c>
      <c r="C83" s="62" t="s">
        <v>7</v>
      </c>
      <c r="D83" s="48" t="s">
        <v>11</v>
      </c>
      <c r="E83" s="175">
        <f>'№9'!D342</f>
        <v>50</v>
      </c>
      <c r="F83" s="175">
        <f>'№9'!E342</f>
        <v>50</v>
      </c>
    </row>
    <row r="84" spans="1:6" ht="31.5">
      <c r="A84" s="61">
        <v>99</v>
      </c>
      <c r="B84" s="62" t="s">
        <v>107</v>
      </c>
      <c r="C84" s="62" t="s">
        <v>14</v>
      </c>
      <c r="D84" s="68" t="s">
        <v>504</v>
      </c>
      <c r="E84" s="175">
        <f>'№9'!D343</f>
        <v>330.4</v>
      </c>
      <c r="F84" s="175">
        <f>'№9'!E343</f>
        <v>330.4</v>
      </c>
    </row>
    <row r="85" spans="1:6" ht="47.25">
      <c r="A85" s="165" t="s">
        <v>188</v>
      </c>
      <c r="B85" s="165" t="s">
        <v>109</v>
      </c>
      <c r="C85" s="173" t="s">
        <v>93</v>
      </c>
      <c r="D85" s="174" t="s">
        <v>5</v>
      </c>
      <c r="E85" s="175">
        <f>E86</f>
        <v>4059.6</v>
      </c>
      <c r="F85" s="175">
        <f aca="true" t="shared" si="40" ref="F85">F86</f>
        <v>4015.9</v>
      </c>
    </row>
    <row r="86" spans="1:6" ht="12.75">
      <c r="A86" s="165" t="s">
        <v>188</v>
      </c>
      <c r="B86" s="165" t="s">
        <v>109</v>
      </c>
      <c r="C86" s="165" t="s">
        <v>19</v>
      </c>
      <c r="D86" s="174" t="s">
        <v>4</v>
      </c>
      <c r="E86" s="175">
        <f>'№9'!D344</f>
        <v>4059.6</v>
      </c>
      <c r="F86" s="175">
        <f>'№9'!E344</f>
        <v>4015.9</v>
      </c>
    </row>
  </sheetData>
  <mergeCells count="8">
    <mergeCell ref="A1:F1"/>
    <mergeCell ref="A2:F2"/>
    <mergeCell ref="E3:E5"/>
    <mergeCell ref="F3:F5"/>
    <mergeCell ref="A3:A5"/>
    <mergeCell ref="B3:B5"/>
    <mergeCell ref="C3:C5"/>
    <mergeCell ref="D3:D5"/>
  </mergeCells>
  <printOptions/>
  <pageMargins left="0.5905511811023623" right="0.1968503937007874" top="0.1968503937007874" bottom="0.1968503937007874" header="0.31496062992125984" footer="0.31496062992125984"/>
  <pageSetup fitToHeight="0" fitToWidth="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E348"/>
  <sheetViews>
    <sheetView workbookViewId="0" topLeftCell="A1">
      <selection activeCell="A20" sqref="A20"/>
    </sheetView>
  </sheetViews>
  <sheetFormatPr defaultColWidth="8.875" defaultRowHeight="12.75"/>
  <cols>
    <col min="1" max="1" width="15.00390625" style="164" customWidth="1"/>
    <col min="2" max="2" width="8.75390625" style="164" customWidth="1"/>
    <col min="3" max="3" width="65.625" style="164" customWidth="1"/>
    <col min="4" max="4" width="12.25390625" style="164" customWidth="1"/>
    <col min="5" max="5" width="13.125" style="164" customWidth="1"/>
    <col min="6" max="16384" width="8.875" style="164" customWidth="1"/>
  </cols>
  <sheetData>
    <row r="1" spans="1:5" ht="50.25" customHeight="1">
      <c r="A1" s="293" t="s">
        <v>1151</v>
      </c>
      <c r="B1" s="293"/>
      <c r="C1" s="293"/>
      <c r="D1" s="293"/>
      <c r="E1" s="293"/>
    </row>
    <row r="2" spans="1:5" ht="55.5" customHeight="1">
      <c r="A2" s="299" t="s">
        <v>1113</v>
      </c>
      <c r="B2" s="299"/>
      <c r="C2" s="299"/>
      <c r="D2" s="299"/>
      <c r="E2" s="299"/>
    </row>
    <row r="3" spans="1:5" ht="12.75">
      <c r="A3" s="298" t="s">
        <v>22</v>
      </c>
      <c r="B3" s="298" t="s">
        <v>21</v>
      </c>
      <c r="C3" s="298" t="s">
        <v>24</v>
      </c>
      <c r="D3" s="295" t="s">
        <v>686</v>
      </c>
      <c r="E3" s="295" t="s">
        <v>687</v>
      </c>
    </row>
    <row r="4" spans="1:5" ht="12.75">
      <c r="A4" s="298" t="s">
        <v>93</v>
      </c>
      <c r="B4" s="298" t="s">
        <v>93</v>
      </c>
      <c r="C4" s="298" t="s">
        <v>93</v>
      </c>
      <c r="D4" s="295"/>
      <c r="E4" s="295"/>
    </row>
    <row r="5" spans="1:5" ht="12.75">
      <c r="A5" s="298" t="s">
        <v>93</v>
      </c>
      <c r="B5" s="298" t="s">
        <v>93</v>
      </c>
      <c r="C5" s="298" t="s">
        <v>93</v>
      </c>
      <c r="D5" s="295"/>
      <c r="E5" s="295"/>
    </row>
    <row r="6" spans="1:5" ht="12.75">
      <c r="A6" s="250" t="s">
        <v>6</v>
      </c>
      <c r="B6" s="250" t="s">
        <v>104</v>
      </c>
      <c r="C6" s="250" t="s">
        <v>105</v>
      </c>
      <c r="D6" s="250" t="s">
        <v>106</v>
      </c>
      <c r="E6" s="250" t="s">
        <v>107</v>
      </c>
    </row>
    <row r="7" spans="1:5" ht="12.75">
      <c r="A7" s="176" t="s">
        <v>93</v>
      </c>
      <c r="B7" s="176" t="s">
        <v>93</v>
      </c>
      <c r="C7" s="177" t="s">
        <v>1</v>
      </c>
      <c r="D7" s="178">
        <f>D8+D98+D140+D169+D178+D205+D234+D247+D301+D314+D327</f>
        <v>756401.4000000001</v>
      </c>
      <c r="E7" s="178">
        <f>E8+E98+E140+E169+E178+E205+E234+E247+E301+E314+E327</f>
        <v>730465.6000000001</v>
      </c>
    </row>
    <row r="8" spans="1:5" ht="47.25">
      <c r="A8" s="176" t="s">
        <v>278</v>
      </c>
      <c r="B8" s="176" t="s">
        <v>93</v>
      </c>
      <c r="C8" s="177" t="s">
        <v>383</v>
      </c>
      <c r="D8" s="178">
        <f>D9+D69+D88+D91</f>
        <v>451729.9000000001</v>
      </c>
      <c r="E8" s="178">
        <f>E9+E69+E88+E91</f>
        <v>449615.3</v>
      </c>
    </row>
    <row r="9" spans="1:5" ht="31.5">
      <c r="A9" s="179" t="s">
        <v>279</v>
      </c>
      <c r="B9" s="179" t="s">
        <v>93</v>
      </c>
      <c r="C9" s="168" t="s">
        <v>114</v>
      </c>
      <c r="D9" s="169">
        <f>D10+D12+D14+D16+D18+D37+D39+D41+D47+D49+D59+D61+D51+D22+D65+D45+D53+D43+D26+D33+D28+D31+D24+D35+D55+D57+D67+D63+D20</f>
        <v>431300.0000000001</v>
      </c>
      <c r="E9" s="169">
        <f aca="true" t="shared" si="0" ref="E9">E10+E12+E14+E16+E18+E37+E39+E41+E47+E49+E59+E61+E51+E22+E65+E45+E53+E43+E26+E33+E28+E31+E24+E35+E55+E57+E67+E63+E20</f>
        <v>429215.00000000006</v>
      </c>
    </row>
    <row r="10" spans="1:5" ht="63">
      <c r="A10" s="249" t="s">
        <v>306</v>
      </c>
      <c r="B10" s="173" t="s">
        <v>93</v>
      </c>
      <c r="C10" s="174" t="s">
        <v>127</v>
      </c>
      <c r="D10" s="175">
        <f>D11</f>
        <v>9069.300000000001</v>
      </c>
      <c r="E10" s="175">
        <f aca="true" t="shared" si="1" ref="E10">E11</f>
        <v>9069.3</v>
      </c>
    </row>
    <row r="11" spans="1:5" ht="31.5">
      <c r="A11" s="249" t="s">
        <v>306</v>
      </c>
      <c r="B11" s="249" t="s">
        <v>14</v>
      </c>
      <c r="C11" s="54" t="s">
        <v>504</v>
      </c>
      <c r="D11" s="175">
        <f>'№6'!F566</f>
        <v>9069.300000000001</v>
      </c>
      <c r="E11" s="175">
        <f>'№6'!G566</f>
        <v>9069.3</v>
      </c>
    </row>
    <row r="12" spans="1:5" ht="63">
      <c r="A12" s="62" t="s">
        <v>295</v>
      </c>
      <c r="B12" s="62"/>
      <c r="C12" s="48" t="s">
        <v>116</v>
      </c>
      <c r="D12" s="175">
        <f>D13</f>
        <v>93411.2</v>
      </c>
      <c r="E12" s="175">
        <f aca="true" t="shared" si="2" ref="E12">E13</f>
        <v>93411.2</v>
      </c>
    </row>
    <row r="13" spans="1:5" ht="31.5">
      <c r="A13" s="62" t="s">
        <v>295</v>
      </c>
      <c r="B13" s="249" t="s">
        <v>14</v>
      </c>
      <c r="C13" s="54" t="s">
        <v>504</v>
      </c>
      <c r="D13" s="175">
        <f>'№6'!F465</f>
        <v>93411.2</v>
      </c>
      <c r="E13" s="175">
        <f>'№6'!G465</f>
        <v>93411.2</v>
      </c>
    </row>
    <row r="14" spans="1:5" ht="47.25">
      <c r="A14" s="62" t="s">
        <v>292</v>
      </c>
      <c r="B14" s="62"/>
      <c r="C14" s="68" t="s">
        <v>115</v>
      </c>
      <c r="D14" s="175">
        <f>D15</f>
        <v>68756.70000000001</v>
      </c>
      <c r="E14" s="175">
        <f aca="true" t="shared" si="3" ref="E14">E15</f>
        <v>68756.7</v>
      </c>
    </row>
    <row r="15" spans="1:5" ht="31.5">
      <c r="A15" s="62" t="s">
        <v>292</v>
      </c>
      <c r="B15" s="249" t="s">
        <v>14</v>
      </c>
      <c r="C15" s="54" t="s">
        <v>504</v>
      </c>
      <c r="D15" s="175">
        <f>'№6'!F467</f>
        <v>68756.70000000001</v>
      </c>
      <c r="E15" s="175">
        <f>'№6'!G467</f>
        <v>68756.7</v>
      </c>
    </row>
    <row r="16" spans="1:5" ht="31.5">
      <c r="A16" s="249" t="s">
        <v>293</v>
      </c>
      <c r="B16" s="173" t="s">
        <v>93</v>
      </c>
      <c r="C16" s="174" t="s">
        <v>471</v>
      </c>
      <c r="D16" s="175">
        <f>D17</f>
        <v>2777.7</v>
      </c>
      <c r="E16" s="175">
        <f aca="true" t="shared" si="4" ref="E16">E17</f>
        <v>2777.7</v>
      </c>
    </row>
    <row r="17" spans="1:5" ht="31.5">
      <c r="A17" s="249" t="s">
        <v>293</v>
      </c>
      <c r="B17" s="249" t="s">
        <v>14</v>
      </c>
      <c r="C17" s="54" t="s">
        <v>504</v>
      </c>
      <c r="D17" s="175">
        <f>'№6'!F469</f>
        <v>2777.7</v>
      </c>
      <c r="E17" s="175">
        <f>'№6'!G469</f>
        <v>2777.7</v>
      </c>
    </row>
    <row r="18" spans="1:5" ht="47.25">
      <c r="A18" s="249" t="s">
        <v>294</v>
      </c>
      <c r="B18" s="173" t="s">
        <v>93</v>
      </c>
      <c r="C18" s="174" t="s">
        <v>121</v>
      </c>
      <c r="D18" s="175">
        <f>D19</f>
        <v>2566.4</v>
      </c>
      <c r="E18" s="175">
        <f aca="true" t="shared" si="5" ref="E18">E19</f>
        <v>2566.4</v>
      </c>
    </row>
    <row r="19" spans="1:5" ht="31.5">
      <c r="A19" s="249" t="s">
        <v>294</v>
      </c>
      <c r="B19" s="249" t="s">
        <v>14</v>
      </c>
      <c r="C19" s="54" t="s">
        <v>504</v>
      </c>
      <c r="D19" s="175">
        <f>'№6'!F472</f>
        <v>2566.4</v>
      </c>
      <c r="E19" s="175">
        <f>'№6'!G472</f>
        <v>2566.4</v>
      </c>
    </row>
    <row r="20" spans="1:5" ht="34.5" customHeight="1">
      <c r="A20" s="53" t="s">
        <v>677</v>
      </c>
      <c r="B20" s="53"/>
      <c r="C20" s="54" t="s">
        <v>678</v>
      </c>
      <c r="D20" s="175">
        <f>D21</f>
        <v>173.8</v>
      </c>
      <c r="E20" s="175">
        <f aca="true" t="shared" si="6" ref="E20">E21</f>
        <v>173.8</v>
      </c>
    </row>
    <row r="21" spans="1:5" ht="31.5">
      <c r="A21" s="53" t="s">
        <v>677</v>
      </c>
      <c r="B21" s="249" t="s">
        <v>14</v>
      </c>
      <c r="C21" s="54" t="s">
        <v>504</v>
      </c>
      <c r="D21" s="175">
        <f>'№6'!F474</f>
        <v>173.8</v>
      </c>
      <c r="E21" s="175">
        <f>'№6'!G474</f>
        <v>173.8</v>
      </c>
    </row>
    <row r="22" spans="1:5" ht="63">
      <c r="A22" s="53" t="s">
        <v>522</v>
      </c>
      <c r="B22" s="53" t="s">
        <v>93</v>
      </c>
      <c r="C22" s="54" t="s">
        <v>523</v>
      </c>
      <c r="D22" s="175">
        <f>D23</f>
        <v>90.3</v>
      </c>
      <c r="E22" s="175">
        <f aca="true" t="shared" si="7" ref="E22">E23</f>
        <v>90.3</v>
      </c>
    </row>
    <row r="23" spans="1:5" ht="31.5">
      <c r="A23" s="71" t="s">
        <v>522</v>
      </c>
      <c r="B23" s="180" t="s">
        <v>14</v>
      </c>
      <c r="C23" s="72" t="s">
        <v>504</v>
      </c>
      <c r="D23" s="181">
        <f>'№6'!F476</f>
        <v>90.3</v>
      </c>
      <c r="E23" s="181">
        <f>'№6'!G476</f>
        <v>90.3</v>
      </c>
    </row>
    <row r="24" spans="1:5" ht="78.75">
      <c r="A24" s="69" t="s">
        <v>585</v>
      </c>
      <c r="B24" s="69" t="s">
        <v>93</v>
      </c>
      <c r="C24" s="70" t="s">
        <v>588</v>
      </c>
      <c r="D24" s="182">
        <f>D25</f>
        <v>2855.7</v>
      </c>
      <c r="E24" s="182">
        <f aca="true" t="shared" si="8" ref="E24">E25</f>
        <v>2855.7</v>
      </c>
    </row>
    <row r="25" spans="1:5" ht="31.5">
      <c r="A25" s="69" t="s">
        <v>585</v>
      </c>
      <c r="B25" s="250" t="s">
        <v>14</v>
      </c>
      <c r="C25" s="70" t="s">
        <v>504</v>
      </c>
      <c r="D25" s="182">
        <f>'№6'!F478</f>
        <v>2855.7</v>
      </c>
      <c r="E25" s="182">
        <f>'№6'!G478</f>
        <v>2855.7</v>
      </c>
    </row>
    <row r="26" spans="1:5" ht="47.25">
      <c r="A26" s="183" t="s">
        <v>552</v>
      </c>
      <c r="B26" s="183"/>
      <c r="C26" s="184" t="s">
        <v>553</v>
      </c>
      <c r="D26" s="185">
        <f>D27</f>
        <v>4212.5</v>
      </c>
      <c r="E26" s="185">
        <f aca="true" t="shared" si="9" ref="E26">E27</f>
        <v>4212.5</v>
      </c>
    </row>
    <row r="27" spans="1:5" ht="31.5">
      <c r="A27" s="62" t="s">
        <v>552</v>
      </c>
      <c r="B27" s="249" t="s">
        <v>14</v>
      </c>
      <c r="C27" s="54" t="s">
        <v>504</v>
      </c>
      <c r="D27" s="175">
        <f>'№6'!F488</f>
        <v>4212.5</v>
      </c>
      <c r="E27" s="175">
        <f>'№6'!G488</f>
        <v>4212.5</v>
      </c>
    </row>
    <row r="28" spans="1:5" ht="31.5">
      <c r="A28" s="14" t="s">
        <v>560</v>
      </c>
      <c r="B28" s="248"/>
      <c r="C28" s="48" t="s">
        <v>563</v>
      </c>
      <c r="D28" s="175">
        <f>D29+D30</f>
        <v>3012.5</v>
      </c>
      <c r="E28" s="175">
        <f aca="true" t="shared" si="10" ref="E28">E29+E30</f>
        <v>3012.5</v>
      </c>
    </row>
    <row r="29" spans="1:5" ht="31.5">
      <c r="A29" s="62" t="s">
        <v>560</v>
      </c>
      <c r="B29" s="62" t="s">
        <v>7</v>
      </c>
      <c r="C29" s="68" t="s">
        <v>11</v>
      </c>
      <c r="D29" s="175">
        <f>'№6'!F403</f>
        <v>236.1</v>
      </c>
      <c r="E29" s="175">
        <f>'№6'!G403</f>
        <v>236.1</v>
      </c>
    </row>
    <row r="30" spans="1:5" ht="31.5">
      <c r="A30" s="62" t="s">
        <v>560</v>
      </c>
      <c r="B30" s="62" t="s">
        <v>14</v>
      </c>
      <c r="C30" s="54" t="s">
        <v>504</v>
      </c>
      <c r="D30" s="175">
        <f>'№6'!F543</f>
        <v>2776.4</v>
      </c>
      <c r="E30" s="175">
        <f>'№6'!G543</f>
        <v>2776.4</v>
      </c>
    </row>
    <row r="31" spans="1:5" ht="33" customHeight="1">
      <c r="A31" s="14" t="s">
        <v>561</v>
      </c>
      <c r="B31" s="248"/>
      <c r="C31" s="48" t="s">
        <v>562</v>
      </c>
      <c r="D31" s="175">
        <f>D32</f>
        <v>53.400000000000006</v>
      </c>
      <c r="E31" s="175">
        <f aca="true" t="shared" si="11" ref="E31">E32</f>
        <v>53.3</v>
      </c>
    </row>
    <row r="32" spans="1:5" ht="31.5">
      <c r="A32" s="62" t="s">
        <v>561</v>
      </c>
      <c r="B32" s="62" t="s">
        <v>14</v>
      </c>
      <c r="C32" s="54" t="s">
        <v>504</v>
      </c>
      <c r="D32" s="175">
        <f>'№6'!F541</f>
        <v>53.400000000000006</v>
      </c>
      <c r="E32" s="175">
        <f>'№6'!G541</f>
        <v>53.3</v>
      </c>
    </row>
    <row r="33" spans="1:5" ht="63">
      <c r="A33" s="62" t="s">
        <v>557</v>
      </c>
      <c r="B33" s="62"/>
      <c r="C33" s="54" t="s">
        <v>559</v>
      </c>
      <c r="D33" s="175">
        <f>D34</f>
        <v>5153.9</v>
      </c>
      <c r="E33" s="175">
        <f aca="true" t="shared" si="12" ref="E33">E34</f>
        <v>4285.9</v>
      </c>
    </row>
    <row r="34" spans="1:5" ht="31.5">
      <c r="A34" s="62" t="s">
        <v>557</v>
      </c>
      <c r="B34" s="249" t="s">
        <v>14</v>
      </c>
      <c r="C34" s="54" t="s">
        <v>504</v>
      </c>
      <c r="D34" s="175">
        <f>'№6'!F490</f>
        <v>5153.9</v>
      </c>
      <c r="E34" s="175">
        <f>'№6'!G490</f>
        <v>4285.9</v>
      </c>
    </row>
    <row r="35" spans="1:5" ht="63">
      <c r="A35" s="53" t="s">
        <v>584</v>
      </c>
      <c r="B35" s="53" t="s">
        <v>93</v>
      </c>
      <c r="C35" s="54" t="s">
        <v>587</v>
      </c>
      <c r="D35" s="175">
        <f>D36</f>
        <v>205.9</v>
      </c>
      <c r="E35" s="175">
        <f aca="true" t="shared" si="13" ref="E35">E36</f>
        <v>205.9</v>
      </c>
    </row>
    <row r="36" spans="1:5" ht="31.5">
      <c r="A36" s="53" t="s">
        <v>584</v>
      </c>
      <c r="B36" s="249" t="s">
        <v>14</v>
      </c>
      <c r="C36" s="54" t="s">
        <v>504</v>
      </c>
      <c r="D36" s="175">
        <f>'№6'!F492</f>
        <v>205.9</v>
      </c>
      <c r="E36" s="175">
        <f>'№6'!G492</f>
        <v>205.9</v>
      </c>
    </row>
    <row r="37" spans="1:5" ht="94.5">
      <c r="A37" s="62" t="s">
        <v>301</v>
      </c>
      <c r="B37" s="62"/>
      <c r="C37" s="68" t="s">
        <v>128</v>
      </c>
      <c r="D37" s="175">
        <f>D38</f>
        <v>176653</v>
      </c>
      <c r="E37" s="175">
        <f aca="true" t="shared" si="14" ref="E37">E38</f>
        <v>176653</v>
      </c>
    </row>
    <row r="38" spans="1:5" ht="31.5">
      <c r="A38" s="62" t="s">
        <v>301</v>
      </c>
      <c r="B38" s="249" t="s">
        <v>14</v>
      </c>
      <c r="C38" s="54" t="s">
        <v>504</v>
      </c>
      <c r="D38" s="175">
        <f>'№6'!F493</f>
        <v>176653</v>
      </c>
      <c r="E38" s="175">
        <f>'№6'!G493</f>
        <v>176653</v>
      </c>
    </row>
    <row r="39" spans="1:5" ht="63">
      <c r="A39" s="62" t="s">
        <v>296</v>
      </c>
      <c r="B39" s="62"/>
      <c r="C39" s="68" t="s">
        <v>118</v>
      </c>
      <c r="D39" s="175">
        <f>D40</f>
        <v>37194.7</v>
      </c>
      <c r="E39" s="175">
        <f aca="true" t="shared" si="15" ref="E39">E40</f>
        <v>37194.7</v>
      </c>
    </row>
    <row r="40" spans="1:5" ht="31.5">
      <c r="A40" s="62" t="s">
        <v>296</v>
      </c>
      <c r="B40" s="249" t="s">
        <v>14</v>
      </c>
      <c r="C40" s="54" t="s">
        <v>504</v>
      </c>
      <c r="D40" s="175">
        <f>'№6'!F495</f>
        <v>37194.7</v>
      </c>
      <c r="E40" s="175">
        <f>'№6'!G495</f>
        <v>37194.7</v>
      </c>
    </row>
    <row r="41" spans="1:5" ht="31.5">
      <c r="A41" s="249" t="s">
        <v>299</v>
      </c>
      <c r="B41" s="173" t="s">
        <v>93</v>
      </c>
      <c r="C41" s="174" t="s">
        <v>474</v>
      </c>
      <c r="D41" s="175">
        <f>D42</f>
        <v>1004.6</v>
      </c>
      <c r="E41" s="175">
        <f aca="true" t="shared" si="16" ref="E41">E42</f>
        <v>1004.6</v>
      </c>
    </row>
    <row r="42" spans="1:5" ht="31.5">
      <c r="A42" s="249" t="s">
        <v>299</v>
      </c>
      <c r="B42" s="249" t="s">
        <v>14</v>
      </c>
      <c r="C42" s="54" t="s">
        <v>504</v>
      </c>
      <c r="D42" s="175">
        <f>'№6'!F497</f>
        <v>1004.6</v>
      </c>
      <c r="E42" s="175">
        <f>'№6'!G497</f>
        <v>1004.6</v>
      </c>
    </row>
    <row r="43" spans="1:5" ht="12.75">
      <c r="A43" s="53" t="s">
        <v>543</v>
      </c>
      <c r="B43" s="53" t="s">
        <v>93</v>
      </c>
      <c r="C43" s="54" t="s">
        <v>1142</v>
      </c>
      <c r="D43" s="175">
        <f>D44</f>
        <v>1491</v>
      </c>
      <c r="E43" s="175">
        <f aca="true" t="shared" si="17" ref="E43">E44</f>
        <v>1491</v>
      </c>
    </row>
    <row r="44" spans="1:5" ht="31.5">
      <c r="A44" s="53" t="s">
        <v>543</v>
      </c>
      <c r="B44" s="249" t="s">
        <v>14</v>
      </c>
      <c r="C44" s="54" t="s">
        <v>504</v>
      </c>
      <c r="D44" s="175">
        <f>'№6'!F500</f>
        <v>1491</v>
      </c>
      <c r="E44" s="175">
        <f>'№6'!G500</f>
        <v>1491</v>
      </c>
    </row>
    <row r="45" spans="1:5" ht="31.5">
      <c r="A45" s="53" t="s">
        <v>524</v>
      </c>
      <c r="B45" s="53" t="s">
        <v>93</v>
      </c>
      <c r="C45" s="54" t="s">
        <v>525</v>
      </c>
      <c r="D45" s="175">
        <f>D46</f>
        <v>850.3</v>
      </c>
      <c r="E45" s="175">
        <f aca="true" t="shared" si="18" ref="E45">E46</f>
        <v>850.3</v>
      </c>
    </row>
    <row r="46" spans="1:5" ht="31.5">
      <c r="A46" s="53" t="s">
        <v>524</v>
      </c>
      <c r="B46" s="249" t="s">
        <v>14</v>
      </c>
      <c r="C46" s="54" t="s">
        <v>504</v>
      </c>
      <c r="D46" s="175">
        <f>'№6'!F502</f>
        <v>850.3</v>
      </c>
      <c r="E46" s="175">
        <f>'№6'!G502</f>
        <v>850.3</v>
      </c>
    </row>
    <row r="47" spans="1:5" ht="47.25">
      <c r="A47" s="249" t="s">
        <v>300</v>
      </c>
      <c r="B47" s="173" t="s">
        <v>93</v>
      </c>
      <c r="C47" s="174" t="s">
        <v>122</v>
      </c>
      <c r="D47" s="175">
        <f>D48</f>
        <v>4414</v>
      </c>
      <c r="E47" s="175">
        <f aca="true" t="shared" si="19" ref="E47">E48</f>
        <v>4414</v>
      </c>
    </row>
    <row r="48" spans="1:5" ht="31.5">
      <c r="A48" s="249" t="s">
        <v>300</v>
      </c>
      <c r="B48" s="249" t="s">
        <v>14</v>
      </c>
      <c r="C48" s="54" t="s">
        <v>504</v>
      </c>
      <c r="D48" s="175">
        <f>'№6'!F503</f>
        <v>4414</v>
      </c>
      <c r="E48" s="175">
        <f>'№6'!G503</f>
        <v>4414</v>
      </c>
    </row>
    <row r="49" spans="1:5" ht="31.5">
      <c r="A49" s="249" t="s">
        <v>475</v>
      </c>
      <c r="B49" s="173" t="s">
        <v>93</v>
      </c>
      <c r="C49" s="174" t="s">
        <v>194</v>
      </c>
      <c r="D49" s="175">
        <f>D50</f>
        <v>160.9</v>
      </c>
      <c r="E49" s="175">
        <f aca="true" t="shared" si="20" ref="E49">E50</f>
        <v>158.8</v>
      </c>
    </row>
    <row r="50" spans="1:5" ht="31.5">
      <c r="A50" s="249" t="s">
        <v>475</v>
      </c>
      <c r="B50" s="249" t="s">
        <v>14</v>
      </c>
      <c r="C50" s="54" t="s">
        <v>504</v>
      </c>
      <c r="D50" s="175">
        <f>'№6'!F544</f>
        <v>160.9</v>
      </c>
      <c r="E50" s="175">
        <f>'№6'!G544</f>
        <v>158.8</v>
      </c>
    </row>
    <row r="51" spans="1:5" ht="47.25">
      <c r="A51" s="53" t="s">
        <v>494</v>
      </c>
      <c r="B51" s="53" t="s">
        <v>93</v>
      </c>
      <c r="C51" s="54" t="s">
        <v>493</v>
      </c>
      <c r="D51" s="175">
        <f>D52</f>
        <v>1651.6999999999998</v>
      </c>
      <c r="E51" s="175">
        <f aca="true" t="shared" si="21" ref="E51">E52</f>
        <v>1651.7</v>
      </c>
    </row>
    <row r="52" spans="1:5" ht="31.5">
      <c r="A52" s="53" t="s">
        <v>494</v>
      </c>
      <c r="B52" s="249" t="s">
        <v>14</v>
      </c>
      <c r="C52" s="54" t="s">
        <v>504</v>
      </c>
      <c r="D52" s="175">
        <f>'№6'!F506</f>
        <v>1651.6999999999998</v>
      </c>
      <c r="E52" s="175">
        <f>'№6'!G506</f>
        <v>1651.7</v>
      </c>
    </row>
    <row r="53" spans="1:5" ht="47.25">
      <c r="A53" s="53" t="s">
        <v>528</v>
      </c>
      <c r="B53" s="53" t="s">
        <v>93</v>
      </c>
      <c r="C53" s="54" t="s">
        <v>529</v>
      </c>
      <c r="D53" s="175">
        <f>D54</f>
        <v>2.1</v>
      </c>
      <c r="E53" s="175">
        <f aca="true" t="shared" si="22" ref="E53">E54</f>
        <v>2.1</v>
      </c>
    </row>
    <row r="54" spans="1:5" ht="31.5">
      <c r="A54" s="53" t="s">
        <v>528</v>
      </c>
      <c r="B54" s="249" t="s">
        <v>14</v>
      </c>
      <c r="C54" s="54" t="s">
        <v>504</v>
      </c>
      <c r="D54" s="175">
        <f>'№6'!F508</f>
        <v>2.1</v>
      </c>
      <c r="E54" s="175">
        <f>'№6'!G508</f>
        <v>2.1</v>
      </c>
    </row>
    <row r="55" spans="1:5" ht="47.25">
      <c r="A55" s="62" t="s">
        <v>598</v>
      </c>
      <c r="B55" s="62"/>
      <c r="C55" s="68" t="s">
        <v>599</v>
      </c>
      <c r="D55" s="175">
        <f>D56</f>
        <v>300</v>
      </c>
      <c r="E55" s="175">
        <f aca="true" t="shared" si="23" ref="E55">E56</f>
        <v>292.5</v>
      </c>
    </row>
    <row r="56" spans="1:5" ht="31.5">
      <c r="A56" s="62" t="s">
        <v>598</v>
      </c>
      <c r="B56" s="249" t="s">
        <v>14</v>
      </c>
      <c r="C56" s="54" t="s">
        <v>504</v>
      </c>
      <c r="D56" s="175">
        <f>'№6'!F521</f>
        <v>300</v>
      </c>
      <c r="E56" s="175">
        <f>'№6'!G521</f>
        <v>292.5</v>
      </c>
    </row>
    <row r="57" spans="1:5" ht="47.25">
      <c r="A57" s="53" t="s">
        <v>609</v>
      </c>
      <c r="B57" s="186"/>
      <c r="C57" s="48" t="s">
        <v>616</v>
      </c>
      <c r="D57" s="175">
        <f>D58</f>
        <v>2760.1</v>
      </c>
      <c r="E57" s="175">
        <f aca="true" t="shared" si="24" ref="E57">E58</f>
        <v>1552.8</v>
      </c>
    </row>
    <row r="58" spans="1:5" ht="31.5">
      <c r="A58" s="53" t="s">
        <v>609</v>
      </c>
      <c r="B58" s="249" t="s">
        <v>14</v>
      </c>
      <c r="C58" s="54" t="s">
        <v>504</v>
      </c>
      <c r="D58" s="175">
        <f>'№6'!F523</f>
        <v>2760.1</v>
      </c>
      <c r="E58" s="175">
        <f>'№6'!G523</f>
        <v>1552.8</v>
      </c>
    </row>
    <row r="59" spans="1:5" ht="31.5">
      <c r="A59" s="62" t="s">
        <v>297</v>
      </c>
      <c r="B59" s="62"/>
      <c r="C59" s="68" t="s">
        <v>119</v>
      </c>
      <c r="D59" s="175">
        <f>D60</f>
        <v>3709.7999999999997</v>
      </c>
      <c r="E59" s="175">
        <f aca="true" t="shared" si="25" ref="E59">E60</f>
        <v>3709.8</v>
      </c>
    </row>
    <row r="60" spans="1:5" ht="31.5">
      <c r="A60" s="62" t="s">
        <v>297</v>
      </c>
      <c r="B60" s="249" t="s">
        <v>14</v>
      </c>
      <c r="C60" s="54" t="s">
        <v>504</v>
      </c>
      <c r="D60" s="175">
        <f>'№6'!F510</f>
        <v>3709.7999999999997</v>
      </c>
      <c r="E60" s="175">
        <f>'№6'!G510</f>
        <v>3709.8</v>
      </c>
    </row>
    <row r="61" spans="1:5" ht="47.25">
      <c r="A61" s="62" t="s">
        <v>298</v>
      </c>
      <c r="B61" s="62"/>
      <c r="C61" s="68" t="s">
        <v>120</v>
      </c>
      <c r="D61" s="175">
        <f>D62</f>
        <v>8144.9</v>
      </c>
      <c r="E61" s="175">
        <f aca="true" t="shared" si="26" ref="E61">E62</f>
        <v>8144.9</v>
      </c>
    </row>
    <row r="62" spans="1:5" ht="31.5">
      <c r="A62" s="62" t="s">
        <v>298</v>
      </c>
      <c r="B62" s="249" t="s">
        <v>14</v>
      </c>
      <c r="C62" s="54" t="s">
        <v>504</v>
      </c>
      <c r="D62" s="175">
        <f>'№6'!F524</f>
        <v>8144.9</v>
      </c>
      <c r="E62" s="175">
        <f>'№6'!G524</f>
        <v>8144.9</v>
      </c>
    </row>
    <row r="63" spans="1:5" ht="31.5">
      <c r="A63" s="62" t="s">
        <v>679</v>
      </c>
      <c r="B63" s="248"/>
      <c r="C63" s="48" t="s">
        <v>680</v>
      </c>
      <c r="D63" s="175">
        <f>D64</f>
        <v>448</v>
      </c>
      <c r="E63" s="175">
        <f aca="true" t="shared" si="27" ref="E63">E64</f>
        <v>448</v>
      </c>
    </row>
    <row r="64" spans="1:5" ht="31.5">
      <c r="A64" s="62" t="s">
        <v>679</v>
      </c>
      <c r="B64" s="249" t="s">
        <v>14</v>
      </c>
      <c r="C64" s="54" t="s">
        <v>504</v>
      </c>
      <c r="D64" s="175">
        <f>'№ 7'!E281</f>
        <v>448</v>
      </c>
      <c r="E64" s="175">
        <f>'№ 7'!F281</f>
        <v>448</v>
      </c>
    </row>
    <row r="65" spans="1:5" ht="47.25">
      <c r="A65" s="62" t="s">
        <v>526</v>
      </c>
      <c r="B65" s="62"/>
      <c r="C65" s="68" t="s">
        <v>527</v>
      </c>
      <c r="D65" s="175">
        <f>D66</f>
        <v>33.4</v>
      </c>
      <c r="E65" s="175">
        <f aca="true" t="shared" si="28" ref="E65">E66</f>
        <v>33.4</v>
      </c>
    </row>
    <row r="66" spans="1:5" ht="31.5">
      <c r="A66" s="62" t="s">
        <v>526</v>
      </c>
      <c r="B66" s="249" t="s">
        <v>14</v>
      </c>
      <c r="C66" s="54" t="s">
        <v>504</v>
      </c>
      <c r="D66" s="175">
        <f>'№6'!F529</f>
        <v>33.4</v>
      </c>
      <c r="E66" s="175">
        <f>'№6'!G529</f>
        <v>33.4</v>
      </c>
    </row>
    <row r="67" spans="1:5" ht="47.25">
      <c r="A67" s="62" t="s">
        <v>608</v>
      </c>
      <c r="B67" s="249"/>
      <c r="C67" s="48" t="s">
        <v>623</v>
      </c>
      <c r="D67" s="175">
        <f>D68</f>
        <v>142.2</v>
      </c>
      <c r="E67" s="175">
        <f aca="true" t="shared" si="29" ref="E67">E68</f>
        <v>142.2</v>
      </c>
    </row>
    <row r="68" spans="1:5" ht="31.5">
      <c r="A68" s="62" t="s">
        <v>608</v>
      </c>
      <c r="B68" s="249" t="s">
        <v>14</v>
      </c>
      <c r="C68" s="54" t="s">
        <v>504</v>
      </c>
      <c r="D68" s="175">
        <f>'№6'!F531</f>
        <v>142.2</v>
      </c>
      <c r="E68" s="175">
        <f>'№6'!G531</f>
        <v>142.2</v>
      </c>
    </row>
    <row r="69" spans="1:5" ht="47.25">
      <c r="A69" s="170" t="s">
        <v>280</v>
      </c>
      <c r="B69" s="170" t="s">
        <v>93</v>
      </c>
      <c r="C69" s="187" t="s">
        <v>452</v>
      </c>
      <c r="D69" s="172">
        <f>D70+D72+D74+D76+D78+D82+D84+D86+D80</f>
        <v>5618.1</v>
      </c>
      <c r="E69" s="172">
        <f aca="true" t="shared" si="30" ref="E69">E70+E72+E74+E76+E78+E82+E84+E86+E80</f>
        <v>5618.1</v>
      </c>
    </row>
    <row r="70" spans="1:5" ht="12.75">
      <c r="A70" s="62" t="s">
        <v>283</v>
      </c>
      <c r="B70" s="62"/>
      <c r="C70" s="68" t="s">
        <v>135</v>
      </c>
      <c r="D70" s="175">
        <f>D71</f>
        <v>4962.5</v>
      </c>
      <c r="E70" s="175">
        <f aca="true" t="shared" si="31" ref="E70">E71</f>
        <v>4962.5</v>
      </c>
    </row>
    <row r="71" spans="1:5" ht="31.5">
      <c r="A71" s="62" t="s">
        <v>283</v>
      </c>
      <c r="B71" s="249" t="s">
        <v>7</v>
      </c>
      <c r="C71" s="174" t="s">
        <v>11</v>
      </c>
      <c r="D71" s="175">
        <f>'№6'!F407</f>
        <v>4962.5</v>
      </c>
      <c r="E71" s="175">
        <f>'№6'!G407</f>
        <v>4962.5</v>
      </c>
    </row>
    <row r="72" spans="1:5" ht="12.75">
      <c r="A72" s="249" t="s">
        <v>281</v>
      </c>
      <c r="B72" s="173" t="s">
        <v>93</v>
      </c>
      <c r="C72" s="174" t="s">
        <v>133</v>
      </c>
      <c r="D72" s="175">
        <f>D73</f>
        <v>19</v>
      </c>
      <c r="E72" s="175">
        <f aca="true" t="shared" si="32" ref="E72">E73</f>
        <v>19</v>
      </c>
    </row>
    <row r="73" spans="1:5" ht="31.5">
      <c r="A73" s="249" t="s">
        <v>281</v>
      </c>
      <c r="B73" s="249" t="s">
        <v>7</v>
      </c>
      <c r="C73" s="174" t="s">
        <v>11</v>
      </c>
      <c r="D73" s="175">
        <f>'№6'!F409</f>
        <v>19</v>
      </c>
      <c r="E73" s="175">
        <f>'№6'!G409</f>
        <v>19</v>
      </c>
    </row>
    <row r="74" spans="1:5" ht="31.5">
      <c r="A74" s="249" t="s">
        <v>284</v>
      </c>
      <c r="B74" s="173" t="s">
        <v>93</v>
      </c>
      <c r="C74" s="174" t="s">
        <v>455</v>
      </c>
      <c r="D74" s="175">
        <f>D75</f>
        <v>256.6</v>
      </c>
      <c r="E74" s="175">
        <f aca="true" t="shared" si="33" ref="E74">E75</f>
        <v>256.6</v>
      </c>
    </row>
    <row r="75" spans="1:5" ht="31.5">
      <c r="A75" s="249" t="s">
        <v>284</v>
      </c>
      <c r="B75" s="249" t="s">
        <v>7</v>
      </c>
      <c r="C75" s="174" t="s">
        <v>11</v>
      </c>
      <c r="D75" s="175">
        <f>'№6'!F375</f>
        <v>256.6</v>
      </c>
      <c r="E75" s="175">
        <f>'№6'!G375</f>
        <v>256.6</v>
      </c>
    </row>
    <row r="76" spans="1:5" ht="31.5">
      <c r="A76" s="249" t="s">
        <v>282</v>
      </c>
      <c r="B76" s="173" t="s">
        <v>93</v>
      </c>
      <c r="C76" s="174" t="s">
        <v>134</v>
      </c>
      <c r="D76" s="175">
        <f>D77</f>
        <v>13.5</v>
      </c>
      <c r="E76" s="175">
        <f>E77</f>
        <v>13.5</v>
      </c>
    </row>
    <row r="77" spans="1:5" ht="31.5">
      <c r="A77" s="249" t="s">
        <v>282</v>
      </c>
      <c r="B77" s="249" t="s">
        <v>7</v>
      </c>
      <c r="C77" s="174" t="s">
        <v>11</v>
      </c>
      <c r="D77" s="175">
        <f>'№6'!F411</f>
        <v>13.5</v>
      </c>
      <c r="E77" s="175">
        <f>'№6'!G411</f>
        <v>13.5</v>
      </c>
    </row>
    <row r="78" spans="1:5" ht="12.75">
      <c r="A78" s="249" t="s">
        <v>285</v>
      </c>
      <c r="B78" s="173" t="s">
        <v>93</v>
      </c>
      <c r="C78" s="174" t="s">
        <v>136</v>
      </c>
      <c r="D78" s="175">
        <f>D79</f>
        <v>47.6</v>
      </c>
      <c r="E78" s="175">
        <f aca="true" t="shared" si="34" ref="E78">E79</f>
        <v>47.6</v>
      </c>
    </row>
    <row r="79" spans="1:5" ht="31.5">
      <c r="A79" s="249" t="s">
        <v>285</v>
      </c>
      <c r="B79" s="249" t="s">
        <v>7</v>
      </c>
      <c r="C79" s="174" t="s">
        <v>11</v>
      </c>
      <c r="D79" s="175">
        <f>'№6'!F413</f>
        <v>47.6</v>
      </c>
      <c r="E79" s="175">
        <f>'№6'!G413</f>
        <v>47.6</v>
      </c>
    </row>
    <row r="80" spans="1:5" ht="31.5">
      <c r="A80" s="62" t="s">
        <v>647</v>
      </c>
      <c r="B80" s="62"/>
      <c r="C80" s="68" t="s">
        <v>648</v>
      </c>
      <c r="D80" s="175">
        <f>D81</f>
        <v>196</v>
      </c>
      <c r="E80" s="175">
        <f aca="true" t="shared" si="35" ref="E80">E81</f>
        <v>196</v>
      </c>
    </row>
    <row r="81" spans="1:5" ht="31.5">
      <c r="A81" s="62" t="s">
        <v>647</v>
      </c>
      <c r="B81" s="249" t="s">
        <v>7</v>
      </c>
      <c r="C81" s="174" t="s">
        <v>11</v>
      </c>
      <c r="D81" s="175">
        <f>'№6'!F416</f>
        <v>196</v>
      </c>
      <c r="E81" s="175">
        <f>'№6'!G416</f>
        <v>196</v>
      </c>
    </row>
    <row r="82" spans="1:5" ht="31.5">
      <c r="A82" s="249" t="s">
        <v>309</v>
      </c>
      <c r="B82" s="173" t="s">
        <v>93</v>
      </c>
      <c r="C82" s="174" t="s">
        <v>198</v>
      </c>
      <c r="D82" s="175">
        <f>D83</f>
        <v>21.7</v>
      </c>
      <c r="E82" s="175">
        <f aca="true" t="shared" si="36" ref="E82">E83</f>
        <v>21.7</v>
      </c>
    </row>
    <row r="83" spans="1:5" ht="31.5">
      <c r="A83" s="249" t="s">
        <v>309</v>
      </c>
      <c r="B83" s="249" t="s">
        <v>7</v>
      </c>
      <c r="C83" s="174" t="s">
        <v>11</v>
      </c>
      <c r="D83" s="175">
        <f>'№6'!F417</f>
        <v>21.7</v>
      </c>
      <c r="E83" s="175">
        <f>'№6'!G417</f>
        <v>21.7</v>
      </c>
    </row>
    <row r="84" spans="1:5" ht="31.5">
      <c r="A84" s="249" t="s">
        <v>456</v>
      </c>
      <c r="B84" s="173" t="s">
        <v>93</v>
      </c>
      <c r="C84" s="174" t="s">
        <v>457</v>
      </c>
      <c r="D84" s="175">
        <f>D85</f>
        <v>36</v>
      </c>
      <c r="E84" s="175">
        <f aca="true" t="shared" si="37" ref="E84">E85</f>
        <v>36</v>
      </c>
    </row>
    <row r="85" spans="1:5" ht="31.5">
      <c r="A85" s="249" t="s">
        <v>456</v>
      </c>
      <c r="B85" s="249" t="s">
        <v>7</v>
      </c>
      <c r="C85" s="174" t="s">
        <v>11</v>
      </c>
      <c r="D85" s="175">
        <f>'№6'!F419</f>
        <v>36</v>
      </c>
      <c r="E85" s="175">
        <f>'№6'!G419</f>
        <v>36</v>
      </c>
    </row>
    <row r="86" spans="1:5" ht="47.25">
      <c r="A86" s="249" t="s">
        <v>460</v>
      </c>
      <c r="B86" s="173" t="s">
        <v>93</v>
      </c>
      <c r="C86" s="174" t="s">
        <v>137</v>
      </c>
      <c r="D86" s="175">
        <f>D87</f>
        <v>65.2</v>
      </c>
      <c r="E86" s="175">
        <f aca="true" t="shared" si="38" ref="E86">E87</f>
        <v>65.2</v>
      </c>
    </row>
    <row r="87" spans="1:5" ht="31.5">
      <c r="A87" s="249" t="s">
        <v>460</v>
      </c>
      <c r="B87" s="249" t="s">
        <v>7</v>
      </c>
      <c r="C87" s="174" t="s">
        <v>11</v>
      </c>
      <c r="D87" s="175">
        <f>'№6'!F422</f>
        <v>65.2</v>
      </c>
      <c r="E87" s="175">
        <f>'№6'!G422</f>
        <v>65.2</v>
      </c>
    </row>
    <row r="88" spans="1:5" ht="78.75">
      <c r="A88" s="170" t="s">
        <v>384</v>
      </c>
      <c r="B88" s="170" t="s">
        <v>93</v>
      </c>
      <c r="C88" s="187" t="s">
        <v>385</v>
      </c>
      <c r="D88" s="172">
        <f>D89</f>
        <v>807.0999999999999</v>
      </c>
      <c r="E88" s="172">
        <f aca="true" t="shared" si="39" ref="E88:E89">E89</f>
        <v>807.1</v>
      </c>
    </row>
    <row r="89" spans="1:5" ht="78.75">
      <c r="A89" s="249" t="s">
        <v>387</v>
      </c>
      <c r="B89" s="173" t="s">
        <v>93</v>
      </c>
      <c r="C89" s="174" t="s">
        <v>388</v>
      </c>
      <c r="D89" s="175">
        <f>D90</f>
        <v>807.0999999999999</v>
      </c>
      <c r="E89" s="175">
        <f t="shared" si="39"/>
        <v>807.1</v>
      </c>
    </row>
    <row r="90" spans="1:5" ht="12.75">
      <c r="A90" s="249" t="s">
        <v>387</v>
      </c>
      <c r="B90" s="249" t="s">
        <v>25</v>
      </c>
      <c r="C90" s="174" t="s">
        <v>112</v>
      </c>
      <c r="D90" s="175">
        <f>'№6'!F206</f>
        <v>807.0999999999999</v>
      </c>
      <c r="E90" s="175">
        <f>'№6'!G206</f>
        <v>807.1</v>
      </c>
    </row>
    <row r="91" spans="1:5" ht="12.75">
      <c r="A91" s="170" t="s">
        <v>302</v>
      </c>
      <c r="B91" s="170" t="s">
        <v>93</v>
      </c>
      <c r="C91" s="187" t="s">
        <v>2</v>
      </c>
      <c r="D91" s="172">
        <f>D92+D94+D96</f>
        <v>14004.699999999997</v>
      </c>
      <c r="E91" s="172">
        <f aca="true" t="shared" si="40" ref="E91">E92+E94+E96</f>
        <v>13975.099999999999</v>
      </c>
    </row>
    <row r="92" spans="1:5" ht="47.25">
      <c r="A92" s="249" t="s">
        <v>304</v>
      </c>
      <c r="B92" s="173" t="s">
        <v>93</v>
      </c>
      <c r="C92" s="174" t="s">
        <v>123</v>
      </c>
      <c r="D92" s="175">
        <f>D93</f>
        <v>8499.899999999998</v>
      </c>
      <c r="E92" s="175">
        <f aca="true" t="shared" si="41" ref="E92">E93</f>
        <v>8470.3</v>
      </c>
    </row>
    <row r="93" spans="1:5" ht="31.5">
      <c r="A93" s="249" t="s">
        <v>304</v>
      </c>
      <c r="B93" s="249" t="s">
        <v>14</v>
      </c>
      <c r="C93" s="54" t="s">
        <v>504</v>
      </c>
      <c r="D93" s="175">
        <f>'№6'!F550</f>
        <v>8499.899999999998</v>
      </c>
      <c r="E93" s="175">
        <f>'№6'!G550</f>
        <v>8470.3</v>
      </c>
    </row>
    <row r="94" spans="1:5" ht="47.25">
      <c r="A94" s="249" t="s">
        <v>305</v>
      </c>
      <c r="B94" s="173" t="s">
        <v>93</v>
      </c>
      <c r="C94" s="174" t="s">
        <v>124</v>
      </c>
      <c r="D94" s="175">
        <f>D95</f>
        <v>3522.9</v>
      </c>
      <c r="E94" s="175">
        <f aca="true" t="shared" si="42" ref="E94">E95</f>
        <v>3522.9</v>
      </c>
    </row>
    <row r="95" spans="1:5" ht="31.5">
      <c r="A95" s="249" t="s">
        <v>305</v>
      </c>
      <c r="B95" s="249" t="s">
        <v>14</v>
      </c>
      <c r="C95" s="54" t="s">
        <v>504</v>
      </c>
      <c r="D95" s="175">
        <f>'№6'!F555</f>
        <v>3522.9</v>
      </c>
      <c r="E95" s="175">
        <f>'№6'!G555</f>
        <v>3522.9</v>
      </c>
    </row>
    <row r="96" spans="1:5" ht="63">
      <c r="A96" s="249" t="s">
        <v>303</v>
      </c>
      <c r="B96" s="173" t="s">
        <v>93</v>
      </c>
      <c r="C96" s="174" t="s">
        <v>330</v>
      </c>
      <c r="D96" s="175">
        <f>D97</f>
        <v>1981.9</v>
      </c>
      <c r="E96" s="175">
        <f aca="true" t="shared" si="43" ref="E96">E97</f>
        <v>1981.9</v>
      </c>
    </row>
    <row r="97" spans="1:5" ht="31.5">
      <c r="A97" s="249" t="s">
        <v>303</v>
      </c>
      <c r="B97" s="249" t="s">
        <v>14</v>
      </c>
      <c r="C97" s="54" t="s">
        <v>504</v>
      </c>
      <c r="D97" s="175">
        <f>'№6'!F559</f>
        <v>1981.9</v>
      </c>
      <c r="E97" s="175">
        <f>'№6'!G559</f>
        <v>1981.9</v>
      </c>
    </row>
    <row r="98" spans="1:5" ht="47.25">
      <c r="A98" s="170" t="s">
        <v>241</v>
      </c>
      <c r="B98" s="170" t="s">
        <v>93</v>
      </c>
      <c r="C98" s="187" t="s">
        <v>389</v>
      </c>
      <c r="D98" s="172">
        <f>D99</f>
        <v>43989.19999999999</v>
      </c>
      <c r="E98" s="172">
        <f aca="true" t="shared" si="44" ref="E98">E99</f>
        <v>43854.3</v>
      </c>
    </row>
    <row r="99" spans="1:5" ht="31.5">
      <c r="A99" s="170" t="s">
        <v>242</v>
      </c>
      <c r="B99" s="170" t="s">
        <v>93</v>
      </c>
      <c r="C99" s="187" t="s">
        <v>150</v>
      </c>
      <c r="D99" s="172">
        <f>D102+D106+D108+D134+D118+D132+D120+D122+D126+D136+D130+D138+D100+D110+D116+D128+D114+D112+D124+D104</f>
        <v>43989.19999999999</v>
      </c>
      <c r="E99" s="172">
        <f>E102+E106+E108+E134+E118+E132+E120+E122+E126+E136+E130+E138+E100+E110+E116+E128+E114+E112+E124+E104</f>
        <v>43854.3</v>
      </c>
    </row>
    <row r="100" spans="1:5" ht="47.25">
      <c r="A100" s="53" t="s">
        <v>612</v>
      </c>
      <c r="B100" s="170"/>
      <c r="C100" s="54" t="s">
        <v>617</v>
      </c>
      <c r="D100" s="175">
        <f>D101</f>
        <v>1934.1</v>
      </c>
      <c r="E100" s="175">
        <f aca="true" t="shared" si="45" ref="E100">E101</f>
        <v>1813</v>
      </c>
    </row>
    <row r="101" spans="1:5" ht="12.75">
      <c r="A101" s="53" t="s">
        <v>612</v>
      </c>
      <c r="B101" s="249" t="s">
        <v>25</v>
      </c>
      <c r="C101" s="174" t="s">
        <v>112</v>
      </c>
      <c r="D101" s="175">
        <f>'№6'!F213</f>
        <v>1934.1</v>
      </c>
      <c r="E101" s="175">
        <f>'№6'!G213</f>
        <v>1813</v>
      </c>
    </row>
    <row r="102" spans="1:5" ht="31.5">
      <c r="A102" s="249" t="s">
        <v>246</v>
      </c>
      <c r="B102" s="173" t="s">
        <v>93</v>
      </c>
      <c r="C102" s="174" t="s">
        <v>392</v>
      </c>
      <c r="D102" s="175">
        <f>D103</f>
        <v>155.1</v>
      </c>
      <c r="E102" s="175">
        <f aca="true" t="shared" si="46" ref="E102">E103</f>
        <v>155.1</v>
      </c>
    </row>
    <row r="103" spans="1:5" ht="12.75">
      <c r="A103" s="249" t="s">
        <v>246</v>
      </c>
      <c r="B103" s="249" t="s">
        <v>25</v>
      </c>
      <c r="C103" s="174" t="s">
        <v>112</v>
      </c>
      <c r="D103" s="175">
        <f>'№6'!F215</f>
        <v>155.1</v>
      </c>
      <c r="E103" s="175">
        <f>'№6'!G215</f>
        <v>155.1</v>
      </c>
    </row>
    <row r="104" spans="1:5" ht="31.5">
      <c r="A104" s="53" t="s">
        <v>681</v>
      </c>
      <c r="B104" s="53" t="s">
        <v>93</v>
      </c>
      <c r="C104" s="54" t="s">
        <v>682</v>
      </c>
      <c r="D104" s="175">
        <f>D105</f>
        <v>154.1</v>
      </c>
      <c r="E104" s="175">
        <f aca="true" t="shared" si="47" ref="E104">E105</f>
        <v>154.1</v>
      </c>
    </row>
    <row r="105" spans="1:5" ht="12.75">
      <c r="A105" s="53" t="s">
        <v>681</v>
      </c>
      <c r="B105" s="249" t="s">
        <v>25</v>
      </c>
      <c r="C105" s="174" t="s">
        <v>112</v>
      </c>
      <c r="D105" s="175">
        <f>'№6'!F218</f>
        <v>154.1</v>
      </c>
      <c r="E105" s="175">
        <f>'№6'!G218</f>
        <v>154.1</v>
      </c>
    </row>
    <row r="106" spans="1:5" ht="31.5">
      <c r="A106" s="249" t="s">
        <v>307</v>
      </c>
      <c r="B106" s="173" t="s">
        <v>93</v>
      </c>
      <c r="C106" s="174" t="s">
        <v>151</v>
      </c>
      <c r="D106" s="175">
        <f>D107</f>
        <v>85.30000000000001</v>
      </c>
      <c r="E106" s="175">
        <f aca="true" t="shared" si="48" ref="E106">E107</f>
        <v>85.1</v>
      </c>
    </row>
    <row r="107" spans="1:5" ht="12.75">
      <c r="A107" s="249" t="s">
        <v>307</v>
      </c>
      <c r="B107" s="249" t="s">
        <v>25</v>
      </c>
      <c r="C107" s="174" t="s">
        <v>112</v>
      </c>
      <c r="D107" s="175">
        <f>'№6'!F219</f>
        <v>85.30000000000001</v>
      </c>
      <c r="E107" s="175">
        <f>'№6'!G219</f>
        <v>85.1</v>
      </c>
    </row>
    <row r="108" spans="1:5" ht="12.75">
      <c r="A108" s="249" t="s">
        <v>247</v>
      </c>
      <c r="B108" s="173" t="s">
        <v>93</v>
      </c>
      <c r="C108" s="174" t="s">
        <v>393</v>
      </c>
      <c r="D108" s="175">
        <f>D109</f>
        <v>8768.099999999999</v>
      </c>
      <c r="E108" s="175">
        <f aca="true" t="shared" si="49" ref="E108">E109</f>
        <v>8754.5</v>
      </c>
    </row>
    <row r="109" spans="1:5" ht="12.75">
      <c r="A109" s="249" t="s">
        <v>247</v>
      </c>
      <c r="B109" s="249" t="s">
        <v>25</v>
      </c>
      <c r="C109" s="174" t="s">
        <v>112</v>
      </c>
      <c r="D109" s="175">
        <f>'№6'!F221</f>
        <v>8768.099999999999</v>
      </c>
      <c r="E109" s="175">
        <f>'№6'!G221</f>
        <v>8754.5</v>
      </c>
    </row>
    <row r="110" spans="1:5" ht="47.25">
      <c r="A110" s="69" t="s">
        <v>613</v>
      </c>
      <c r="B110" s="186"/>
      <c r="C110" s="54" t="s">
        <v>624</v>
      </c>
      <c r="D110" s="175">
        <f>D111</f>
        <v>19.3</v>
      </c>
      <c r="E110" s="175">
        <f aca="true" t="shared" si="50" ref="E110">E111</f>
        <v>19.3</v>
      </c>
    </row>
    <row r="111" spans="1:5" ht="12.75">
      <c r="A111" s="69" t="s">
        <v>613</v>
      </c>
      <c r="B111" s="249" t="s">
        <v>25</v>
      </c>
      <c r="C111" s="174" t="s">
        <v>112</v>
      </c>
      <c r="D111" s="175">
        <f>'№6'!F225</f>
        <v>19.3</v>
      </c>
      <c r="E111" s="175">
        <f>'№6'!G225</f>
        <v>19.3</v>
      </c>
    </row>
    <row r="112" spans="1:5" ht="47.25">
      <c r="A112" s="69" t="s">
        <v>621</v>
      </c>
      <c r="B112" s="69" t="s">
        <v>93</v>
      </c>
      <c r="C112" s="54" t="s">
        <v>622</v>
      </c>
      <c r="D112" s="175">
        <f>D113</f>
        <v>70</v>
      </c>
      <c r="E112" s="175">
        <f aca="true" t="shared" si="51" ref="E112">E113</f>
        <v>70</v>
      </c>
    </row>
    <row r="113" spans="1:5" ht="12.75">
      <c r="A113" s="69" t="s">
        <v>621</v>
      </c>
      <c r="B113" s="249" t="s">
        <v>25</v>
      </c>
      <c r="C113" s="174" t="s">
        <v>112</v>
      </c>
      <c r="D113" s="175">
        <f>'№6'!F228</f>
        <v>70</v>
      </c>
      <c r="E113" s="175">
        <f>'№6'!G228</f>
        <v>70</v>
      </c>
    </row>
    <row r="114" spans="1:5" ht="47.25">
      <c r="A114" s="62" t="s">
        <v>619</v>
      </c>
      <c r="B114" s="170"/>
      <c r="C114" s="68" t="s">
        <v>620</v>
      </c>
      <c r="D114" s="175">
        <f>D115</f>
        <v>99</v>
      </c>
      <c r="E114" s="175">
        <f aca="true" t="shared" si="52" ref="E114">E115</f>
        <v>99</v>
      </c>
    </row>
    <row r="115" spans="1:5" ht="12.75">
      <c r="A115" s="62" t="s">
        <v>619</v>
      </c>
      <c r="B115" s="249" t="s">
        <v>25</v>
      </c>
      <c r="C115" s="174" t="s">
        <v>112</v>
      </c>
      <c r="D115" s="175">
        <f>'№6'!F231</f>
        <v>99</v>
      </c>
      <c r="E115" s="175">
        <f>'№6'!G231</f>
        <v>99</v>
      </c>
    </row>
    <row r="116" spans="1:5" ht="47.25">
      <c r="A116" s="62" t="s">
        <v>614</v>
      </c>
      <c r="B116" s="186"/>
      <c r="C116" s="54" t="s">
        <v>617</v>
      </c>
      <c r="D116" s="175">
        <f>D117</f>
        <v>1469.2</v>
      </c>
      <c r="E116" s="175">
        <f aca="true" t="shared" si="53" ref="E116">E117</f>
        <v>1469.2</v>
      </c>
    </row>
    <row r="117" spans="1:5" ht="12.75">
      <c r="A117" s="62" t="s">
        <v>614</v>
      </c>
      <c r="B117" s="249" t="s">
        <v>25</v>
      </c>
      <c r="C117" s="174" t="s">
        <v>112</v>
      </c>
      <c r="D117" s="175">
        <f>'№6'!F232</f>
        <v>1469.2</v>
      </c>
      <c r="E117" s="175">
        <f>'№6'!G232</f>
        <v>1469.2</v>
      </c>
    </row>
    <row r="118" spans="1:5" ht="31.5">
      <c r="A118" s="62" t="s">
        <v>244</v>
      </c>
      <c r="B118" s="62"/>
      <c r="C118" s="68" t="s">
        <v>152</v>
      </c>
      <c r="D118" s="175">
        <f>D119</f>
        <v>13320.099999999999</v>
      </c>
      <c r="E118" s="175">
        <f aca="true" t="shared" si="54" ref="E118">E119</f>
        <v>13320.1</v>
      </c>
    </row>
    <row r="119" spans="1:5" ht="12.75">
      <c r="A119" s="62" t="s">
        <v>244</v>
      </c>
      <c r="B119" s="249" t="s">
        <v>25</v>
      </c>
      <c r="C119" s="174" t="s">
        <v>112</v>
      </c>
      <c r="D119" s="175">
        <f>'№6'!F234</f>
        <v>13320.099999999999</v>
      </c>
      <c r="E119" s="175">
        <f>'№6'!G234</f>
        <v>13320.1</v>
      </c>
    </row>
    <row r="120" spans="1:5" ht="47.25">
      <c r="A120" s="62" t="s">
        <v>544</v>
      </c>
      <c r="B120" s="248"/>
      <c r="C120" s="68" t="s">
        <v>545</v>
      </c>
      <c r="D120" s="175">
        <f>D121</f>
        <v>527</v>
      </c>
      <c r="E120" s="175">
        <f aca="true" t="shared" si="55" ref="E120">E121</f>
        <v>527</v>
      </c>
    </row>
    <row r="121" spans="1:5" ht="12.75">
      <c r="A121" s="62" t="s">
        <v>544</v>
      </c>
      <c r="B121" s="249" t="s">
        <v>25</v>
      </c>
      <c r="C121" s="174" t="s">
        <v>112</v>
      </c>
      <c r="D121" s="175">
        <f>'№6'!F237</f>
        <v>527</v>
      </c>
      <c r="E121" s="175">
        <f>'№6'!G237</f>
        <v>527</v>
      </c>
    </row>
    <row r="122" spans="1:5" ht="31.5">
      <c r="A122" s="62" t="s">
        <v>546</v>
      </c>
      <c r="B122" s="248"/>
      <c r="C122" s="68" t="s">
        <v>547</v>
      </c>
      <c r="D122" s="175">
        <f>D123</f>
        <v>32</v>
      </c>
      <c r="E122" s="175">
        <f aca="true" t="shared" si="56" ref="E122">E123</f>
        <v>32</v>
      </c>
    </row>
    <row r="123" spans="1:5" ht="12.75">
      <c r="A123" s="62" t="s">
        <v>546</v>
      </c>
      <c r="B123" s="249" t="s">
        <v>25</v>
      </c>
      <c r="C123" s="174" t="s">
        <v>112</v>
      </c>
      <c r="D123" s="175">
        <f>'№6'!F239</f>
        <v>32</v>
      </c>
      <c r="E123" s="175">
        <f>'№6'!G239</f>
        <v>32</v>
      </c>
    </row>
    <row r="124" spans="1:5" ht="63">
      <c r="A124" s="62" t="s">
        <v>654</v>
      </c>
      <c r="B124" s="248"/>
      <c r="C124" s="68" t="s">
        <v>655</v>
      </c>
      <c r="D124" s="175">
        <f>D125</f>
        <v>252.3</v>
      </c>
      <c r="E124" s="175">
        <f aca="true" t="shared" si="57" ref="E124">E125</f>
        <v>252.3</v>
      </c>
    </row>
    <row r="125" spans="1:5" ht="12.75">
      <c r="A125" s="62" t="s">
        <v>654</v>
      </c>
      <c r="B125" s="249" t="s">
        <v>25</v>
      </c>
      <c r="C125" s="174" t="s">
        <v>112</v>
      </c>
      <c r="D125" s="175">
        <f>'№6'!F241</f>
        <v>252.3</v>
      </c>
      <c r="E125" s="175">
        <f>'№6'!G241</f>
        <v>252.3</v>
      </c>
    </row>
    <row r="126" spans="1:5" ht="31.5">
      <c r="A126" s="62" t="s">
        <v>548</v>
      </c>
      <c r="B126" s="248"/>
      <c r="C126" s="68" t="s">
        <v>549</v>
      </c>
      <c r="D126" s="175">
        <f>D127</f>
        <v>1</v>
      </c>
      <c r="E126" s="175">
        <f aca="true" t="shared" si="58" ref="E126">E127</f>
        <v>1</v>
      </c>
    </row>
    <row r="127" spans="1:5" ht="12.75">
      <c r="A127" s="62" t="s">
        <v>548</v>
      </c>
      <c r="B127" s="249" t="s">
        <v>25</v>
      </c>
      <c r="C127" s="174" t="s">
        <v>112</v>
      </c>
      <c r="D127" s="175">
        <f>'№6'!F243</f>
        <v>1</v>
      </c>
      <c r="E127" s="175">
        <f>'№6'!G243</f>
        <v>1</v>
      </c>
    </row>
    <row r="128" spans="1:5" ht="47.25">
      <c r="A128" s="62" t="s">
        <v>615</v>
      </c>
      <c r="B128" s="186"/>
      <c r="C128" s="54" t="s">
        <v>624</v>
      </c>
      <c r="D128" s="175">
        <f>D129</f>
        <v>14.7</v>
      </c>
      <c r="E128" s="175">
        <f aca="true" t="shared" si="59" ref="E128">E129</f>
        <v>14.7</v>
      </c>
    </row>
    <row r="129" spans="1:5" ht="12.75">
      <c r="A129" s="62" t="s">
        <v>615</v>
      </c>
      <c r="B129" s="249" t="s">
        <v>25</v>
      </c>
      <c r="C129" s="174" t="s">
        <v>112</v>
      </c>
      <c r="D129" s="175">
        <f>'№6'!F244</f>
        <v>14.7</v>
      </c>
      <c r="E129" s="175">
        <f>'№6'!G244</f>
        <v>14.7</v>
      </c>
    </row>
    <row r="130" spans="1:5" ht="47.25">
      <c r="A130" s="69" t="s">
        <v>611</v>
      </c>
      <c r="B130" s="186"/>
      <c r="C130" s="48" t="s">
        <v>616</v>
      </c>
      <c r="D130" s="175">
        <f>D131</f>
        <v>1554.4</v>
      </c>
      <c r="E130" s="175">
        <f aca="true" t="shared" si="60" ref="E130">E131</f>
        <v>1554.4</v>
      </c>
    </row>
    <row r="131" spans="1:5" ht="12.75">
      <c r="A131" s="69" t="s">
        <v>611</v>
      </c>
      <c r="B131" s="249" t="s">
        <v>25</v>
      </c>
      <c r="C131" s="174" t="s">
        <v>112</v>
      </c>
      <c r="D131" s="175">
        <f>'№6'!F194</f>
        <v>1554.4</v>
      </c>
      <c r="E131" s="175">
        <f>'№6'!G194</f>
        <v>1554.4</v>
      </c>
    </row>
    <row r="132" spans="1:5" ht="31.5">
      <c r="A132" s="62" t="s">
        <v>243</v>
      </c>
      <c r="B132" s="62"/>
      <c r="C132" s="68" t="s">
        <v>178</v>
      </c>
      <c r="D132" s="175">
        <f>D133</f>
        <v>15330.899999999998</v>
      </c>
      <c r="E132" s="175">
        <f aca="true" t="shared" si="61" ref="E132">E133</f>
        <v>15330.9</v>
      </c>
    </row>
    <row r="133" spans="1:5" ht="12.75">
      <c r="A133" s="62" t="s">
        <v>243</v>
      </c>
      <c r="B133" s="249" t="s">
        <v>25</v>
      </c>
      <c r="C133" s="174" t="s">
        <v>112</v>
      </c>
      <c r="D133" s="175">
        <f>'№6'!F196</f>
        <v>15330.899999999998</v>
      </c>
      <c r="E133" s="175">
        <f>'№6'!G196</f>
        <v>15330.9</v>
      </c>
    </row>
    <row r="134" spans="1:5" ht="47.25">
      <c r="A134" s="249" t="s">
        <v>245</v>
      </c>
      <c r="B134" s="173" t="s">
        <v>93</v>
      </c>
      <c r="C134" s="174" t="s">
        <v>396</v>
      </c>
      <c r="D134" s="175">
        <f>D135</f>
        <v>32.1</v>
      </c>
      <c r="E134" s="175">
        <f aca="true" t="shared" si="62" ref="E134">E135</f>
        <v>32.1</v>
      </c>
    </row>
    <row r="135" spans="1:5" ht="12.75">
      <c r="A135" s="249" t="s">
        <v>245</v>
      </c>
      <c r="B135" s="249" t="s">
        <v>25</v>
      </c>
      <c r="C135" s="174" t="s">
        <v>112</v>
      </c>
      <c r="D135" s="175">
        <f>'№6'!F247</f>
        <v>32.1</v>
      </c>
      <c r="E135" s="175">
        <f>'№6'!G247</f>
        <v>32.1</v>
      </c>
    </row>
    <row r="136" spans="1:5" ht="31.5">
      <c r="A136" s="69" t="s">
        <v>646</v>
      </c>
      <c r="B136" s="69" t="s">
        <v>93</v>
      </c>
      <c r="C136" s="70" t="s">
        <v>550</v>
      </c>
      <c r="D136" s="175">
        <f>D137</f>
        <v>41.8</v>
      </c>
      <c r="E136" s="175">
        <f aca="true" t="shared" si="63" ref="E136">E137</f>
        <v>41.8</v>
      </c>
    </row>
    <row r="137" spans="1:5" ht="12.75">
      <c r="A137" s="69" t="s">
        <v>646</v>
      </c>
      <c r="B137" s="249" t="s">
        <v>25</v>
      </c>
      <c r="C137" s="174" t="s">
        <v>112</v>
      </c>
      <c r="D137" s="175">
        <f>'№6'!F199</f>
        <v>41.8</v>
      </c>
      <c r="E137" s="175">
        <f>'№6'!G199</f>
        <v>41.8</v>
      </c>
    </row>
    <row r="138" spans="1:5" ht="47.25">
      <c r="A138" s="69" t="s">
        <v>651</v>
      </c>
      <c r="B138" s="249"/>
      <c r="C138" s="48" t="s">
        <v>623</v>
      </c>
      <c r="D138" s="175">
        <f>D139</f>
        <v>128.7</v>
      </c>
      <c r="E138" s="175">
        <f aca="true" t="shared" si="64" ref="E138">E139</f>
        <v>128.7</v>
      </c>
    </row>
    <row r="139" spans="1:5" ht="12.75">
      <c r="A139" s="69" t="s">
        <v>651</v>
      </c>
      <c r="B139" s="249" t="s">
        <v>25</v>
      </c>
      <c r="C139" s="174" t="s">
        <v>112</v>
      </c>
      <c r="D139" s="175">
        <f>'№6'!F200</f>
        <v>128.7</v>
      </c>
      <c r="E139" s="175">
        <f>'№6'!G200</f>
        <v>128.7</v>
      </c>
    </row>
    <row r="140" spans="1:5" ht="47.25">
      <c r="A140" s="170" t="s">
        <v>274</v>
      </c>
      <c r="B140" s="170" t="s">
        <v>93</v>
      </c>
      <c r="C140" s="187" t="s">
        <v>447</v>
      </c>
      <c r="D140" s="172">
        <f>D141+D166</f>
        <v>31483.7</v>
      </c>
      <c r="E140" s="172">
        <f>E141+E166</f>
        <v>31184.000000000004</v>
      </c>
    </row>
    <row r="141" spans="1:5" ht="31.5">
      <c r="A141" s="170" t="s">
        <v>275</v>
      </c>
      <c r="B141" s="170" t="s">
        <v>93</v>
      </c>
      <c r="C141" s="187" t="s">
        <v>138</v>
      </c>
      <c r="D141" s="172">
        <f>D144+D146+D154+D156+D164+D142+D152+D158+D162+D148+D160+D150</f>
        <v>29073.5</v>
      </c>
      <c r="E141" s="172">
        <f aca="true" t="shared" si="65" ref="E141">E144+E146+E154+E156+E164+E142+E152+E158+E162+E148+E160+E150</f>
        <v>28773.800000000003</v>
      </c>
    </row>
    <row r="142" spans="1:5" ht="47.25">
      <c r="A142" s="14" t="s">
        <v>288</v>
      </c>
      <c r="B142" s="248"/>
      <c r="C142" s="48" t="s">
        <v>142</v>
      </c>
      <c r="D142" s="175">
        <f>D143</f>
        <v>9824.9</v>
      </c>
      <c r="E142" s="175">
        <f aca="true" t="shared" si="66" ref="E142">E143</f>
        <v>9824.9</v>
      </c>
    </row>
    <row r="143" spans="1:5" ht="31.5">
      <c r="A143" s="14" t="s">
        <v>288</v>
      </c>
      <c r="B143" s="249" t="s">
        <v>7</v>
      </c>
      <c r="C143" s="174" t="s">
        <v>11</v>
      </c>
      <c r="D143" s="175">
        <f>'№6'!F438</f>
        <v>9824.9</v>
      </c>
      <c r="E143" s="175">
        <f>'№6'!G438</f>
        <v>9824.9</v>
      </c>
    </row>
    <row r="144" spans="1:5" ht="31.5">
      <c r="A144" s="249" t="s">
        <v>287</v>
      </c>
      <c r="B144" s="173" t="s">
        <v>93</v>
      </c>
      <c r="C144" s="174" t="s">
        <v>141</v>
      </c>
      <c r="D144" s="175">
        <f>D145</f>
        <v>1070.4</v>
      </c>
      <c r="E144" s="175">
        <f aca="true" t="shared" si="67" ref="E144">E145</f>
        <v>1070.3</v>
      </c>
    </row>
    <row r="145" spans="1:5" ht="31.5">
      <c r="A145" s="249" t="s">
        <v>287</v>
      </c>
      <c r="B145" s="249" t="s">
        <v>7</v>
      </c>
      <c r="C145" s="174" t="s">
        <v>11</v>
      </c>
      <c r="D145" s="175">
        <f>'№6'!F440</f>
        <v>1070.4</v>
      </c>
      <c r="E145" s="175">
        <f>'№6'!G440</f>
        <v>1070.3</v>
      </c>
    </row>
    <row r="146" spans="1:5" ht="47.25">
      <c r="A146" s="249" t="s">
        <v>289</v>
      </c>
      <c r="B146" s="173" t="s">
        <v>93</v>
      </c>
      <c r="C146" s="174" t="s">
        <v>143</v>
      </c>
      <c r="D146" s="175">
        <f>D147</f>
        <v>251.9</v>
      </c>
      <c r="E146" s="175">
        <f aca="true" t="shared" si="68" ref="E146">E147</f>
        <v>251.9</v>
      </c>
    </row>
    <row r="147" spans="1:5" ht="31.5">
      <c r="A147" s="249" t="s">
        <v>289</v>
      </c>
      <c r="B147" s="249" t="s">
        <v>7</v>
      </c>
      <c r="C147" s="174" t="s">
        <v>11</v>
      </c>
      <c r="D147" s="175">
        <f>'№6'!F444</f>
        <v>251.9</v>
      </c>
      <c r="E147" s="175">
        <f>'№6'!G444</f>
        <v>251.9</v>
      </c>
    </row>
    <row r="148" spans="1:5" ht="63">
      <c r="A148" s="53" t="s">
        <v>596</v>
      </c>
      <c r="B148" s="53" t="s">
        <v>93</v>
      </c>
      <c r="C148" s="54" t="s">
        <v>597</v>
      </c>
      <c r="D148" s="175">
        <f>D149</f>
        <v>300</v>
      </c>
      <c r="E148" s="175">
        <f aca="true" t="shared" si="69" ref="E148">E149</f>
        <v>286.5</v>
      </c>
    </row>
    <row r="149" spans="1:5" ht="31.5">
      <c r="A149" s="53" t="s">
        <v>596</v>
      </c>
      <c r="B149" s="249" t="s">
        <v>7</v>
      </c>
      <c r="C149" s="174" t="s">
        <v>11</v>
      </c>
      <c r="D149" s="175">
        <f>'№6'!F382</f>
        <v>300</v>
      </c>
      <c r="E149" s="175">
        <f>'№6'!G382</f>
        <v>286.5</v>
      </c>
    </row>
    <row r="150" spans="1:5" ht="47.25">
      <c r="A150" s="53" t="s">
        <v>610</v>
      </c>
      <c r="B150" s="186"/>
      <c r="C150" s="48" t="s">
        <v>616</v>
      </c>
      <c r="D150" s="175">
        <f>D151</f>
        <v>1174</v>
      </c>
      <c r="E150" s="175">
        <f aca="true" t="shared" si="70" ref="E150">E151</f>
        <v>1173.9</v>
      </c>
    </row>
    <row r="151" spans="1:5" ht="31.5">
      <c r="A151" s="53" t="s">
        <v>610</v>
      </c>
      <c r="B151" s="249" t="s">
        <v>7</v>
      </c>
      <c r="C151" s="174" t="s">
        <v>11</v>
      </c>
      <c r="D151" s="175">
        <f>'№6'!F383</f>
        <v>1174</v>
      </c>
      <c r="E151" s="175">
        <f>'№6'!G383</f>
        <v>1173.9</v>
      </c>
    </row>
    <row r="152" spans="1:5" ht="47.25">
      <c r="A152" s="14" t="s">
        <v>276</v>
      </c>
      <c r="B152" s="248"/>
      <c r="C152" s="48" t="s">
        <v>139</v>
      </c>
      <c r="D152" s="175">
        <f>D153</f>
        <v>12457</v>
      </c>
      <c r="E152" s="175">
        <f aca="true" t="shared" si="71" ref="E152">E153</f>
        <v>12457</v>
      </c>
    </row>
    <row r="153" spans="1:5" ht="31.5">
      <c r="A153" s="14" t="s">
        <v>276</v>
      </c>
      <c r="B153" s="249" t="s">
        <v>7</v>
      </c>
      <c r="C153" s="174" t="s">
        <v>11</v>
      </c>
      <c r="D153" s="175">
        <f>'№6'!F385</f>
        <v>12457</v>
      </c>
      <c r="E153" s="175">
        <f>'№6'!G385</f>
        <v>12457</v>
      </c>
    </row>
    <row r="154" spans="1:5" ht="47.25">
      <c r="A154" s="249" t="s">
        <v>277</v>
      </c>
      <c r="B154" s="173" t="s">
        <v>93</v>
      </c>
      <c r="C154" s="174" t="s">
        <v>197</v>
      </c>
      <c r="D154" s="175">
        <f>D155</f>
        <v>440.7</v>
      </c>
      <c r="E154" s="175">
        <f aca="true" t="shared" si="72" ref="E154">E155</f>
        <v>440.7</v>
      </c>
    </row>
    <row r="155" spans="1:5" ht="31.5">
      <c r="A155" s="249" t="s">
        <v>277</v>
      </c>
      <c r="B155" s="249" t="s">
        <v>7</v>
      </c>
      <c r="C155" s="174" t="s">
        <v>11</v>
      </c>
      <c r="D155" s="175">
        <f>'№6'!F387</f>
        <v>440.7</v>
      </c>
      <c r="E155" s="175">
        <f>'№6'!G387</f>
        <v>440.7</v>
      </c>
    </row>
    <row r="156" spans="1:5" ht="31.5">
      <c r="A156" s="249" t="s">
        <v>450</v>
      </c>
      <c r="B156" s="173" t="s">
        <v>93</v>
      </c>
      <c r="C156" s="174" t="s">
        <v>451</v>
      </c>
      <c r="D156" s="175">
        <f>D157</f>
        <v>178.9</v>
      </c>
      <c r="E156" s="175">
        <f aca="true" t="shared" si="73" ref="E156">E157</f>
        <v>178.9</v>
      </c>
    </row>
    <row r="157" spans="1:5" ht="31.5">
      <c r="A157" s="249" t="s">
        <v>450</v>
      </c>
      <c r="B157" s="249" t="s">
        <v>7</v>
      </c>
      <c r="C157" s="174" t="s">
        <v>11</v>
      </c>
      <c r="D157" s="175">
        <f>'№6'!F389</f>
        <v>178.9</v>
      </c>
      <c r="E157" s="175">
        <f>'№6'!G389</f>
        <v>178.9</v>
      </c>
    </row>
    <row r="158" spans="1:5" ht="63">
      <c r="A158" s="53" t="s">
        <v>497</v>
      </c>
      <c r="B158" s="53" t="s">
        <v>93</v>
      </c>
      <c r="C158" s="54" t="s">
        <v>496</v>
      </c>
      <c r="D158" s="175">
        <f>D159</f>
        <v>33.4</v>
      </c>
      <c r="E158" s="175">
        <f aca="true" t="shared" si="74" ref="E158">E159</f>
        <v>31.9</v>
      </c>
    </row>
    <row r="159" spans="1:5" ht="31.5">
      <c r="A159" s="53" t="s">
        <v>497</v>
      </c>
      <c r="B159" s="249" t="s">
        <v>7</v>
      </c>
      <c r="C159" s="174" t="s">
        <v>11</v>
      </c>
      <c r="D159" s="175">
        <f>'№6'!F392</f>
        <v>33.4</v>
      </c>
      <c r="E159" s="175">
        <f>'№6'!G392</f>
        <v>31.9</v>
      </c>
    </row>
    <row r="160" spans="1:5" ht="47.25">
      <c r="A160" s="53" t="s">
        <v>652</v>
      </c>
      <c r="B160" s="249"/>
      <c r="C160" s="48" t="s">
        <v>623</v>
      </c>
      <c r="D160" s="175">
        <f>D161</f>
        <v>107.8</v>
      </c>
      <c r="E160" s="175">
        <f aca="true" t="shared" si="75" ref="E160">E161</f>
        <v>107.8</v>
      </c>
    </row>
    <row r="161" spans="1:5" ht="31.5">
      <c r="A161" s="53" t="s">
        <v>652</v>
      </c>
      <c r="B161" s="249" t="s">
        <v>7</v>
      </c>
      <c r="C161" s="174" t="s">
        <v>11</v>
      </c>
      <c r="D161" s="175">
        <f>'№6'!F393</f>
        <v>107.8</v>
      </c>
      <c r="E161" s="175">
        <f>'№6'!G393</f>
        <v>107.8</v>
      </c>
    </row>
    <row r="162" spans="1:5" ht="63">
      <c r="A162" s="53" t="s">
        <v>581</v>
      </c>
      <c r="B162" s="53" t="s">
        <v>93</v>
      </c>
      <c r="C162" s="54" t="s">
        <v>582</v>
      </c>
      <c r="D162" s="175">
        <f>D163</f>
        <v>2467.2</v>
      </c>
      <c r="E162" s="175">
        <f aca="true" t="shared" si="76" ref="E162">E163</f>
        <v>2234.7</v>
      </c>
    </row>
    <row r="163" spans="1:5" ht="31.5">
      <c r="A163" s="53" t="s">
        <v>581</v>
      </c>
      <c r="B163" s="249" t="s">
        <v>7</v>
      </c>
      <c r="C163" s="174" t="s">
        <v>11</v>
      </c>
      <c r="D163" s="175">
        <f>'№6'!F448</f>
        <v>2467.2</v>
      </c>
      <c r="E163" s="175">
        <f>'№6'!G448</f>
        <v>2234.7</v>
      </c>
    </row>
    <row r="164" spans="1:5" ht="63">
      <c r="A164" s="53" t="s">
        <v>495</v>
      </c>
      <c r="B164" s="53" t="s">
        <v>93</v>
      </c>
      <c r="C164" s="54" t="s">
        <v>577</v>
      </c>
      <c r="D164" s="175">
        <f>D165</f>
        <v>767.3</v>
      </c>
      <c r="E164" s="175">
        <f aca="true" t="shared" si="77" ref="E164">E165</f>
        <v>715.3</v>
      </c>
    </row>
    <row r="165" spans="1:5" ht="31.5">
      <c r="A165" s="53" t="s">
        <v>495</v>
      </c>
      <c r="B165" s="249" t="s">
        <v>7</v>
      </c>
      <c r="C165" s="174" t="s">
        <v>11</v>
      </c>
      <c r="D165" s="175">
        <f>'№6'!F450</f>
        <v>767.3</v>
      </c>
      <c r="E165" s="175">
        <f>'№6'!G450</f>
        <v>715.3</v>
      </c>
    </row>
    <row r="166" spans="1:5" ht="12.75">
      <c r="A166" s="170" t="s">
        <v>290</v>
      </c>
      <c r="B166" s="170" t="s">
        <v>93</v>
      </c>
      <c r="C166" s="187" t="s">
        <v>2</v>
      </c>
      <c r="D166" s="172">
        <f>D167</f>
        <v>2410.2</v>
      </c>
      <c r="E166" s="172">
        <f aca="true" t="shared" si="78" ref="E166:E167">E167</f>
        <v>2410.2</v>
      </c>
    </row>
    <row r="167" spans="1:5" ht="63">
      <c r="A167" s="249" t="s">
        <v>291</v>
      </c>
      <c r="B167" s="173" t="s">
        <v>93</v>
      </c>
      <c r="C167" s="174" t="s">
        <v>330</v>
      </c>
      <c r="D167" s="175">
        <f>D168</f>
        <v>2410.2</v>
      </c>
      <c r="E167" s="175">
        <f t="shared" si="78"/>
        <v>2410.2</v>
      </c>
    </row>
    <row r="168" spans="1:5" ht="31.5">
      <c r="A168" s="249" t="s">
        <v>291</v>
      </c>
      <c r="B168" s="249" t="s">
        <v>7</v>
      </c>
      <c r="C168" s="174" t="s">
        <v>11</v>
      </c>
      <c r="D168" s="175">
        <f>'№6'!F455</f>
        <v>2410.2</v>
      </c>
      <c r="E168" s="175">
        <f>'№6'!G455</f>
        <v>2410.2</v>
      </c>
    </row>
    <row r="169" spans="1:5" ht="63">
      <c r="A169" s="170" t="s">
        <v>235</v>
      </c>
      <c r="B169" s="170" t="s">
        <v>93</v>
      </c>
      <c r="C169" s="187" t="s">
        <v>440</v>
      </c>
      <c r="D169" s="172">
        <f>D170+D175</f>
        <v>8899.8</v>
      </c>
      <c r="E169" s="172">
        <f aca="true" t="shared" si="79" ref="E169">E170+E175</f>
        <v>8899.8</v>
      </c>
    </row>
    <row r="170" spans="1:5" ht="31.5">
      <c r="A170" s="170" t="s">
        <v>286</v>
      </c>
      <c r="B170" s="170" t="s">
        <v>93</v>
      </c>
      <c r="C170" s="187" t="s">
        <v>168</v>
      </c>
      <c r="D170" s="172">
        <f>D171+D173</f>
        <v>3546.8</v>
      </c>
      <c r="E170" s="172">
        <f aca="true" t="shared" si="80" ref="E170">E171+E173</f>
        <v>3546.8</v>
      </c>
    </row>
    <row r="171" spans="1:5" ht="31.5">
      <c r="A171" s="249" t="s">
        <v>463</v>
      </c>
      <c r="B171" s="173" t="s">
        <v>93</v>
      </c>
      <c r="C171" s="174" t="s">
        <v>169</v>
      </c>
      <c r="D171" s="175">
        <f>D172</f>
        <v>1762.7</v>
      </c>
      <c r="E171" s="175">
        <f aca="true" t="shared" si="81" ref="E171">E172</f>
        <v>1762.7</v>
      </c>
    </row>
    <row r="172" spans="1:5" ht="31.5">
      <c r="A172" s="249" t="s">
        <v>463</v>
      </c>
      <c r="B172" s="249" t="s">
        <v>7</v>
      </c>
      <c r="C172" s="174" t="s">
        <v>11</v>
      </c>
      <c r="D172" s="175">
        <f>'№6'!F429</f>
        <v>1762.7</v>
      </c>
      <c r="E172" s="175">
        <f>'№6'!G429</f>
        <v>1762.7</v>
      </c>
    </row>
    <row r="173" spans="1:5" ht="47.25">
      <c r="A173" s="53" t="s">
        <v>567</v>
      </c>
      <c r="B173" s="53" t="s">
        <v>93</v>
      </c>
      <c r="C173" s="54" t="s">
        <v>568</v>
      </c>
      <c r="D173" s="175">
        <f>D174</f>
        <v>1784.1</v>
      </c>
      <c r="E173" s="175">
        <f aca="true" t="shared" si="82" ref="E173">E174</f>
        <v>1784.1</v>
      </c>
    </row>
    <row r="174" spans="1:5" ht="31.5">
      <c r="A174" s="53" t="s">
        <v>567</v>
      </c>
      <c r="B174" s="249" t="s">
        <v>7</v>
      </c>
      <c r="C174" s="174" t="s">
        <v>11</v>
      </c>
      <c r="D174" s="175">
        <f>'№6'!F432</f>
        <v>1784.1</v>
      </c>
      <c r="E174" s="175">
        <f>'№6'!G432</f>
        <v>1784.1</v>
      </c>
    </row>
    <row r="175" spans="1:5" ht="63">
      <c r="A175" s="170" t="s">
        <v>271</v>
      </c>
      <c r="B175" s="170" t="s">
        <v>93</v>
      </c>
      <c r="C175" s="187" t="s">
        <v>441</v>
      </c>
      <c r="D175" s="172">
        <f>D176</f>
        <v>5353</v>
      </c>
      <c r="E175" s="172">
        <f aca="true" t="shared" si="83" ref="E175">E176</f>
        <v>5353</v>
      </c>
    </row>
    <row r="176" spans="1:5" ht="63">
      <c r="A176" s="249" t="s">
        <v>311</v>
      </c>
      <c r="B176" s="173" t="s">
        <v>93</v>
      </c>
      <c r="C176" s="174" t="s">
        <v>592</v>
      </c>
      <c r="D176" s="175">
        <f>D177</f>
        <v>5353</v>
      </c>
      <c r="E176" s="175">
        <f aca="true" t="shared" si="84" ref="E176">E177</f>
        <v>5353</v>
      </c>
    </row>
    <row r="177" spans="1:5" ht="31.5">
      <c r="A177" s="249" t="s">
        <v>311</v>
      </c>
      <c r="B177" s="249" t="s">
        <v>58</v>
      </c>
      <c r="C177" s="54" t="s">
        <v>521</v>
      </c>
      <c r="D177" s="175">
        <f>'№6'!F355</f>
        <v>5353</v>
      </c>
      <c r="E177" s="175">
        <f>'№6'!G355</f>
        <v>5353</v>
      </c>
    </row>
    <row r="178" spans="1:5" ht="47.25">
      <c r="A178" s="170" t="s">
        <v>218</v>
      </c>
      <c r="B178" s="170" t="s">
        <v>93</v>
      </c>
      <c r="C178" s="187" t="s">
        <v>347</v>
      </c>
      <c r="D178" s="172">
        <f>D179+D184</f>
        <v>25204.400000000005</v>
      </c>
      <c r="E178" s="172">
        <f>E179+E184</f>
        <v>21451.000000000004</v>
      </c>
    </row>
    <row r="179" spans="1:5" ht="47.25">
      <c r="A179" s="170" t="s">
        <v>371</v>
      </c>
      <c r="B179" s="170" t="s">
        <v>93</v>
      </c>
      <c r="C179" s="187" t="s">
        <v>372</v>
      </c>
      <c r="D179" s="172">
        <f>D182+D180</f>
        <v>3521</v>
      </c>
      <c r="E179" s="172">
        <f>E182+E180</f>
        <v>228</v>
      </c>
    </row>
    <row r="180" spans="1:5" ht="12.75">
      <c r="A180" s="53" t="s">
        <v>490</v>
      </c>
      <c r="B180" s="53" t="s">
        <v>93</v>
      </c>
      <c r="C180" s="54" t="s">
        <v>491</v>
      </c>
      <c r="D180" s="175">
        <f>D181</f>
        <v>198</v>
      </c>
      <c r="E180" s="175">
        <f aca="true" t="shared" si="85" ref="E180">E181</f>
        <v>198</v>
      </c>
    </row>
    <row r="181" spans="1:5" ht="12.75">
      <c r="A181" s="53" t="s">
        <v>490</v>
      </c>
      <c r="B181" s="249" t="s">
        <v>25</v>
      </c>
      <c r="C181" s="174" t="s">
        <v>112</v>
      </c>
      <c r="D181" s="175">
        <f>'№6'!F156</f>
        <v>198</v>
      </c>
      <c r="E181" s="175">
        <f>'№6'!G156</f>
        <v>198</v>
      </c>
    </row>
    <row r="182" spans="1:5" ht="12.75">
      <c r="A182" s="249" t="s">
        <v>376</v>
      </c>
      <c r="B182" s="173" t="s">
        <v>93</v>
      </c>
      <c r="C182" s="174" t="s">
        <v>377</v>
      </c>
      <c r="D182" s="175">
        <f>D183</f>
        <v>3323</v>
      </c>
      <c r="E182" s="175">
        <f aca="true" t="shared" si="86" ref="E182">E183</f>
        <v>30</v>
      </c>
    </row>
    <row r="183" spans="1:5" ht="12.75">
      <c r="A183" s="249" t="s">
        <v>376</v>
      </c>
      <c r="B183" s="249" t="s">
        <v>25</v>
      </c>
      <c r="C183" s="174" t="s">
        <v>112</v>
      </c>
      <c r="D183" s="175">
        <f>'№6'!F157</f>
        <v>3323</v>
      </c>
      <c r="E183" s="175">
        <f>'№6'!G157</f>
        <v>30</v>
      </c>
    </row>
    <row r="184" spans="1:5" ht="31.5">
      <c r="A184" s="170" t="s">
        <v>219</v>
      </c>
      <c r="B184" s="170" t="s">
        <v>93</v>
      </c>
      <c r="C184" s="187" t="s">
        <v>170</v>
      </c>
      <c r="D184" s="172">
        <f>D187+D189+D191+D193+D197+D201+D203+D185+D199+D195</f>
        <v>21683.400000000005</v>
      </c>
      <c r="E184" s="172">
        <f>E187+E189+E191+E193+E197+E201+E203+E185+E199+E195</f>
        <v>21223.000000000004</v>
      </c>
    </row>
    <row r="185" spans="1:5" ht="31.5">
      <c r="A185" s="53" t="s">
        <v>512</v>
      </c>
      <c r="B185" s="53" t="s">
        <v>93</v>
      </c>
      <c r="C185" s="54" t="s">
        <v>513</v>
      </c>
      <c r="D185" s="175">
        <f>D186</f>
        <v>677.9</v>
      </c>
      <c r="E185" s="175">
        <f aca="true" t="shared" si="87" ref="E185">E186</f>
        <v>624.4</v>
      </c>
    </row>
    <row r="186" spans="1:5" ht="12.75">
      <c r="A186" s="53" t="s">
        <v>512</v>
      </c>
      <c r="B186" s="249" t="s">
        <v>25</v>
      </c>
      <c r="C186" s="174" t="s">
        <v>112</v>
      </c>
      <c r="D186" s="175">
        <f>'№6'!F163</f>
        <v>677.9</v>
      </c>
      <c r="E186" s="175">
        <f>'№6'!G163</f>
        <v>624.4</v>
      </c>
    </row>
    <row r="187" spans="1:5" ht="12.75">
      <c r="A187" s="249" t="s">
        <v>236</v>
      </c>
      <c r="B187" s="173" t="s">
        <v>93</v>
      </c>
      <c r="C187" s="174" t="s">
        <v>171</v>
      </c>
      <c r="D187" s="175">
        <f>D188</f>
        <v>13545.6</v>
      </c>
      <c r="E187" s="175">
        <f aca="true" t="shared" si="88" ref="E187">E188</f>
        <v>13301.2</v>
      </c>
    </row>
    <row r="188" spans="1:5" ht="12.75">
      <c r="A188" s="249" t="s">
        <v>236</v>
      </c>
      <c r="B188" s="249" t="s">
        <v>25</v>
      </c>
      <c r="C188" s="174" t="s">
        <v>112</v>
      </c>
      <c r="D188" s="175">
        <f>'№6'!F165</f>
        <v>13545.6</v>
      </c>
      <c r="E188" s="175">
        <f>'№6'!G165</f>
        <v>13301.2</v>
      </c>
    </row>
    <row r="189" spans="1:5" ht="31.5">
      <c r="A189" s="249" t="s">
        <v>237</v>
      </c>
      <c r="B189" s="173" t="s">
        <v>93</v>
      </c>
      <c r="C189" s="174" t="s">
        <v>172</v>
      </c>
      <c r="D189" s="175">
        <f>D190</f>
        <v>1087.7</v>
      </c>
      <c r="E189" s="175">
        <f aca="true" t="shared" si="89" ref="E189">E190</f>
        <v>1087.7</v>
      </c>
    </row>
    <row r="190" spans="1:5" ht="12.75">
      <c r="A190" s="249" t="s">
        <v>237</v>
      </c>
      <c r="B190" s="249" t="s">
        <v>25</v>
      </c>
      <c r="C190" s="174" t="s">
        <v>112</v>
      </c>
      <c r="D190" s="175">
        <f>'№6'!F167</f>
        <v>1087.7</v>
      </c>
      <c r="E190" s="175">
        <f>'№6'!G167</f>
        <v>1087.7</v>
      </c>
    </row>
    <row r="191" spans="1:5" ht="12.75">
      <c r="A191" s="249" t="s">
        <v>238</v>
      </c>
      <c r="B191" s="173" t="s">
        <v>93</v>
      </c>
      <c r="C191" s="174" t="s">
        <v>173</v>
      </c>
      <c r="D191" s="175">
        <f>D192</f>
        <v>2677.6</v>
      </c>
      <c r="E191" s="175">
        <f aca="true" t="shared" si="90" ref="E191">E192</f>
        <v>2542.5</v>
      </c>
    </row>
    <row r="192" spans="1:5" ht="12.75">
      <c r="A192" s="249" t="s">
        <v>238</v>
      </c>
      <c r="B192" s="249" t="s">
        <v>25</v>
      </c>
      <c r="C192" s="174" t="s">
        <v>112</v>
      </c>
      <c r="D192" s="175">
        <f>'№6'!F169</f>
        <v>2677.6</v>
      </c>
      <c r="E192" s="175">
        <f>'№6'!G169</f>
        <v>2542.5</v>
      </c>
    </row>
    <row r="193" spans="1:5" ht="12.75">
      <c r="A193" s="249" t="s">
        <v>239</v>
      </c>
      <c r="B193" s="173" t="s">
        <v>93</v>
      </c>
      <c r="C193" s="174" t="s">
        <v>380</v>
      </c>
      <c r="D193" s="175">
        <f>D194</f>
        <v>145.9</v>
      </c>
      <c r="E193" s="175">
        <f aca="true" t="shared" si="91" ref="E193">E194</f>
        <v>145.9</v>
      </c>
    </row>
    <row r="194" spans="1:5" ht="12.75">
      <c r="A194" s="249" t="s">
        <v>239</v>
      </c>
      <c r="B194" s="249" t="s">
        <v>25</v>
      </c>
      <c r="C194" s="174" t="s">
        <v>112</v>
      </c>
      <c r="D194" s="175">
        <f>'№6'!F171</f>
        <v>145.9</v>
      </c>
      <c r="E194" s="175">
        <f>'№6'!G171</f>
        <v>145.9</v>
      </c>
    </row>
    <row r="195" spans="1:5" ht="31.5">
      <c r="A195" s="53" t="s">
        <v>537</v>
      </c>
      <c r="B195" s="53" t="s">
        <v>93</v>
      </c>
      <c r="C195" s="54" t="s">
        <v>538</v>
      </c>
      <c r="D195" s="175">
        <f>D196</f>
        <v>258</v>
      </c>
      <c r="E195" s="175">
        <f aca="true" t="shared" si="92" ref="E195">E196</f>
        <v>258</v>
      </c>
    </row>
    <row r="196" spans="1:5" ht="12.75">
      <c r="A196" s="53" t="s">
        <v>537</v>
      </c>
      <c r="B196" s="249" t="s">
        <v>25</v>
      </c>
      <c r="C196" s="174" t="s">
        <v>112</v>
      </c>
      <c r="D196" s="175">
        <f>'№6'!F174</f>
        <v>258</v>
      </c>
      <c r="E196" s="175">
        <f>'№6'!G174</f>
        <v>258</v>
      </c>
    </row>
    <row r="197" spans="1:5" ht="47.25">
      <c r="A197" s="249" t="s">
        <v>381</v>
      </c>
      <c r="B197" s="173" t="s">
        <v>93</v>
      </c>
      <c r="C197" s="174" t="s">
        <v>382</v>
      </c>
      <c r="D197" s="175">
        <f>D198</f>
        <v>1133.4000000000005</v>
      </c>
      <c r="E197" s="175">
        <f aca="true" t="shared" si="93" ref="E197">E198</f>
        <v>1132.4</v>
      </c>
    </row>
    <row r="198" spans="1:5" ht="12.75">
      <c r="A198" s="249" t="s">
        <v>381</v>
      </c>
      <c r="B198" s="249" t="s">
        <v>25</v>
      </c>
      <c r="C198" s="174" t="s">
        <v>112</v>
      </c>
      <c r="D198" s="175">
        <f>'№6'!F175</f>
        <v>1133.4000000000005</v>
      </c>
      <c r="E198" s="175">
        <f>'№6'!G175</f>
        <v>1132.4</v>
      </c>
    </row>
    <row r="199" spans="1:5" ht="31.5">
      <c r="A199" s="53" t="s">
        <v>515</v>
      </c>
      <c r="B199" s="53" t="s">
        <v>93</v>
      </c>
      <c r="C199" s="54" t="s">
        <v>514</v>
      </c>
      <c r="D199" s="175">
        <f>D200</f>
        <v>996.3999999999999</v>
      </c>
      <c r="E199" s="175">
        <f aca="true" t="shared" si="94" ref="E199">E200</f>
        <v>970</v>
      </c>
    </row>
    <row r="200" spans="1:5" ht="12.75">
      <c r="A200" s="53" t="s">
        <v>515</v>
      </c>
      <c r="B200" s="249" t="s">
        <v>25</v>
      </c>
      <c r="C200" s="174" t="s">
        <v>112</v>
      </c>
      <c r="D200" s="175">
        <f>'№6'!F178</f>
        <v>996.3999999999999</v>
      </c>
      <c r="E200" s="175">
        <f>'№6'!G178</f>
        <v>970</v>
      </c>
    </row>
    <row r="201" spans="1:5" ht="80.25" customHeight="1">
      <c r="A201" s="249" t="s">
        <v>220</v>
      </c>
      <c r="B201" s="173" t="s">
        <v>93</v>
      </c>
      <c r="C201" s="174" t="s">
        <v>177</v>
      </c>
      <c r="D201" s="175">
        <f>D202</f>
        <v>395.8</v>
      </c>
      <c r="E201" s="175">
        <f aca="true" t="shared" si="95" ref="E201">E202</f>
        <v>395.8</v>
      </c>
    </row>
    <row r="202" spans="1:5" ht="12.75">
      <c r="A202" s="249" t="s">
        <v>220</v>
      </c>
      <c r="B202" s="249" t="s">
        <v>25</v>
      </c>
      <c r="C202" s="174" t="s">
        <v>112</v>
      </c>
      <c r="D202" s="175">
        <f>'№6'!F96</f>
        <v>395.8</v>
      </c>
      <c r="E202" s="175">
        <f>'№6'!G96</f>
        <v>395.8</v>
      </c>
    </row>
    <row r="203" spans="1:5" ht="31.5">
      <c r="A203" s="249" t="s">
        <v>240</v>
      </c>
      <c r="B203" s="173" t="s">
        <v>93</v>
      </c>
      <c r="C203" s="174" t="s">
        <v>174</v>
      </c>
      <c r="D203" s="175">
        <f>D204</f>
        <v>765.0999999999999</v>
      </c>
      <c r="E203" s="175">
        <f aca="true" t="shared" si="96" ref="E203">E204</f>
        <v>765.1</v>
      </c>
    </row>
    <row r="204" spans="1:5" ht="12.75">
      <c r="A204" s="249" t="s">
        <v>240</v>
      </c>
      <c r="B204" s="249" t="s">
        <v>25</v>
      </c>
      <c r="C204" s="174" t="s">
        <v>112</v>
      </c>
      <c r="D204" s="175">
        <f>'№6'!F180</f>
        <v>765.0999999999999</v>
      </c>
      <c r="E204" s="175">
        <f>'№6'!G180</f>
        <v>765.1</v>
      </c>
    </row>
    <row r="205" spans="1:5" ht="47.25">
      <c r="A205" s="170" t="s">
        <v>221</v>
      </c>
      <c r="B205" s="170" t="s">
        <v>93</v>
      </c>
      <c r="C205" s="187" t="s">
        <v>350</v>
      </c>
      <c r="D205" s="172">
        <f>D206+D227</f>
        <v>112527.80000000002</v>
      </c>
      <c r="E205" s="172">
        <f>E206+E227</f>
        <v>96568.70000000001</v>
      </c>
    </row>
    <row r="206" spans="1:5" ht="47.25">
      <c r="A206" s="170" t="s">
        <v>222</v>
      </c>
      <c r="B206" s="170" t="s">
        <v>93</v>
      </c>
      <c r="C206" s="187" t="s">
        <v>492</v>
      </c>
      <c r="D206" s="172">
        <f>D207+D211+D213+D223+D215+D219+D221+D225+D209+D217</f>
        <v>108599.80000000002</v>
      </c>
      <c r="E206" s="172">
        <f aca="true" t="shared" si="97" ref="E206">E207+E211+E213+E223+E215+E219+E221+E225+E209+E217</f>
        <v>92640.70000000001</v>
      </c>
    </row>
    <row r="207" spans="1:5" ht="47.25">
      <c r="A207" s="249" t="s">
        <v>223</v>
      </c>
      <c r="B207" s="173" t="s">
        <v>93</v>
      </c>
      <c r="C207" s="174" t="s">
        <v>353</v>
      </c>
      <c r="D207" s="175">
        <f>D208</f>
        <v>25181.300000000003</v>
      </c>
      <c r="E207" s="175">
        <f aca="true" t="shared" si="98" ref="E207">E208</f>
        <v>25181.3</v>
      </c>
    </row>
    <row r="208" spans="1:5" ht="12.75">
      <c r="A208" s="249" t="s">
        <v>223</v>
      </c>
      <c r="B208" s="249" t="s">
        <v>25</v>
      </c>
      <c r="C208" s="174" t="s">
        <v>112</v>
      </c>
      <c r="D208" s="175">
        <f>'№6'!F102</f>
        <v>25181.300000000003</v>
      </c>
      <c r="E208" s="175">
        <f>'№6'!G102</f>
        <v>25181.3</v>
      </c>
    </row>
    <row r="209" spans="1:5" ht="47.25">
      <c r="A209" s="53" t="s">
        <v>571</v>
      </c>
      <c r="B209" s="53" t="s">
        <v>93</v>
      </c>
      <c r="C209" s="54" t="s">
        <v>573</v>
      </c>
      <c r="D209" s="175">
        <f>D210</f>
        <v>21150.1</v>
      </c>
      <c r="E209" s="175">
        <f aca="true" t="shared" si="99" ref="E209">E210</f>
        <v>14398.2</v>
      </c>
    </row>
    <row r="210" spans="1:5" ht="12.75">
      <c r="A210" s="53" t="s">
        <v>571</v>
      </c>
      <c r="B210" s="249" t="s">
        <v>25</v>
      </c>
      <c r="C210" s="174" t="s">
        <v>112</v>
      </c>
      <c r="D210" s="175">
        <f>'№6'!F105</f>
        <v>21150.1</v>
      </c>
      <c r="E210" s="175">
        <f>'№6'!G105</f>
        <v>14398.2</v>
      </c>
    </row>
    <row r="211" spans="1:5" ht="47.25">
      <c r="A211" s="249" t="s">
        <v>224</v>
      </c>
      <c r="B211" s="173" t="s">
        <v>93</v>
      </c>
      <c r="C211" s="174" t="s">
        <v>196</v>
      </c>
      <c r="D211" s="175">
        <f>D212</f>
        <v>6380</v>
      </c>
      <c r="E211" s="175">
        <f aca="true" t="shared" si="100" ref="E211">E212</f>
        <v>6380</v>
      </c>
    </row>
    <row r="212" spans="1:5" ht="12.75">
      <c r="A212" s="249" t="s">
        <v>224</v>
      </c>
      <c r="B212" s="249" t="s">
        <v>25</v>
      </c>
      <c r="C212" s="174" t="s">
        <v>112</v>
      </c>
      <c r="D212" s="175">
        <f>'№6'!F107</f>
        <v>6380</v>
      </c>
      <c r="E212" s="175">
        <f>'№6'!G107</f>
        <v>6380</v>
      </c>
    </row>
    <row r="213" spans="1:5" ht="31.5">
      <c r="A213" s="249" t="s">
        <v>225</v>
      </c>
      <c r="B213" s="173" t="s">
        <v>93</v>
      </c>
      <c r="C213" s="174" t="s">
        <v>356</v>
      </c>
      <c r="D213" s="175">
        <f>D214</f>
        <v>1018.5</v>
      </c>
      <c r="E213" s="175">
        <f aca="true" t="shared" si="101" ref="E213">E214</f>
        <v>1018.5</v>
      </c>
    </row>
    <row r="214" spans="1:5" ht="12.75">
      <c r="A214" s="249" t="s">
        <v>225</v>
      </c>
      <c r="B214" s="249" t="s">
        <v>25</v>
      </c>
      <c r="C214" s="174" t="s">
        <v>112</v>
      </c>
      <c r="D214" s="175">
        <f>'№6'!F109</f>
        <v>1018.5</v>
      </c>
      <c r="E214" s="175">
        <f>'№6'!G109</f>
        <v>1018.5</v>
      </c>
    </row>
    <row r="215" spans="1:5" ht="47.25">
      <c r="A215" s="53" t="s">
        <v>499</v>
      </c>
      <c r="B215" s="53" t="s">
        <v>93</v>
      </c>
      <c r="C215" s="54" t="s">
        <v>498</v>
      </c>
      <c r="D215" s="175">
        <f>D216</f>
        <v>6092.3</v>
      </c>
      <c r="E215" s="175">
        <f aca="true" t="shared" si="102" ref="E215">E216</f>
        <v>4180.2</v>
      </c>
    </row>
    <row r="216" spans="1:5" ht="12.75">
      <c r="A216" s="53" t="s">
        <v>499</v>
      </c>
      <c r="B216" s="249" t="s">
        <v>25</v>
      </c>
      <c r="C216" s="174" t="s">
        <v>112</v>
      </c>
      <c r="D216" s="175">
        <f>'№6'!F112</f>
        <v>6092.3</v>
      </c>
      <c r="E216" s="175">
        <f>'№6'!G112</f>
        <v>4180.2</v>
      </c>
    </row>
    <row r="217" spans="1:5" ht="63">
      <c r="A217" s="53" t="s">
        <v>570</v>
      </c>
      <c r="B217" s="58"/>
      <c r="C217" s="54" t="s">
        <v>572</v>
      </c>
      <c r="D217" s="175">
        <f>D218</f>
        <v>36095.4</v>
      </c>
      <c r="E217" s="175">
        <f aca="true" t="shared" si="103" ref="E217">E218</f>
        <v>30537.6</v>
      </c>
    </row>
    <row r="218" spans="1:5" ht="12.75">
      <c r="A218" s="53" t="s">
        <v>570</v>
      </c>
      <c r="B218" s="249" t="s">
        <v>25</v>
      </c>
      <c r="C218" s="174" t="s">
        <v>112</v>
      </c>
      <c r="D218" s="175">
        <f>'№6'!F115</f>
        <v>36095.4</v>
      </c>
      <c r="E218" s="175">
        <f>'№6'!G115</f>
        <v>30537.6</v>
      </c>
    </row>
    <row r="219" spans="1:5" ht="31.5">
      <c r="A219" s="53" t="s">
        <v>518</v>
      </c>
      <c r="B219" s="58"/>
      <c r="C219" s="54" t="s">
        <v>513</v>
      </c>
      <c r="D219" s="175">
        <f>D220</f>
        <v>800</v>
      </c>
      <c r="E219" s="175">
        <f aca="true" t="shared" si="104" ref="E219">E220</f>
        <v>789.4</v>
      </c>
    </row>
    <row r="220" spans="1:5" ht="12.75">
      <c r="A220" s="53" t="s">
        <v>518</v>
      </c>
      <c r="B220" s="249" t="s">
        <v>25</v>
      </c>
      <c r="C220" s="174" t="s">
        <v>112</v>
      </c>
      <c r="D220" s="175">
        <f>'№6'!F117</f>
        <v>800</v>
      </c>
      <c r="E220" s="175">
        <f>'№6'!G117</f>
        <v>789.4</v>
      </c>
    </row>
    <row r="221" spans="1:5" ht="31.5">
      <c r="A221" s="53" t="s">
        <v>517</v>
      </c>
      <c r="B221" s="58"/>
      <c r="C221" s="54" t="s">
        <v>514</v>
      </c>
      <c r="D221" s="175">
        <f>D222</f>
        <v>1172.1</v>
      </c>
      <c r="E221" s="175">
        <f aca="true" t="shared" si="105" ref="E221">E222</f>
        <v>1156.3</v>
      </c>
    </row>
    <row r="222" spans="1:5" ht="12.75">
      <c r="A222" s="53" t="s">
        <v>517</v>
      </c>
      <c r="B222" s="249" t="s">
        <v>25</v>
      </c>
      <c r="C222" s="174" t="s">
        <v>112</v>
      </c>
      <c r="D222" s="175">
        <f>'№6'!F119</f>
        <v>1172.1</v>
      </c>
      <c r="E222" s="175">
        <f>'№6'!G119</f>
        <v>1156.3</v>
      </c>
    </row>
    <row r="223" spans="1:5" ht="63">
      <c r="A223" s="53" t="s">
        <v>500</v>
      </c>
      <c r="B223" s="53" t="s">
        <v>93</v>
      </c>
      <c r="C223" s="54" t="s">
        <v>502</v>
      </c>
      <c r="D223" s="175">
        <f>D224</f>
        <v>10632.8</v>
      </c>
      <c r="E223" s="175">
        <f aca="true" t="shared" si="106" ref="E223">E224</f>
        <v>8999.2</v>
      </c>
    </row>
    <row r="224" spans="1:5" ht="12.75">
      <c r="A224" s="53" t="s">
        <v>500</v>
      </c>
      <c r="B224" s="249" t="s">
        <v>25</v>
      </c>
      <c r="C224" s="174" t="s">
        <v>112</v>
      </c>
      <c r="D224" s="175">
        <f>'№6'!F120</f>
        <v>10632.8</v>
      </c>
      <c r="E224" s="175">
        <f>'№6'!G120</f>
        <v>8999.2</v>
      </c>
    </row>
    <row r="225" spans="1:5" ht="31.5">
      <c r="A225" s="14" t="s">
        <v>534</v>
      </c>
      <c r="B225" s="248"/>
      <c r="C225" s="48" t="s">
        <v>535</v>
      </c>
      <c r="D225" s="175">
        <f>D226</f>
        <v>77.3</v>
      </c>
      <c r="E225" s="175">
        <f aca="true" t="shared" si="107" ref="E225">E226</f>
        <v>0</v>
      </c>
    </row>
    <row r="226" spans="1:5" ht="12.75">
      <c r="A226" s="14" t="s">
        <v>534</v>
      </c>
      <c r="B226" s="249" t="s">
        <v>25</v>
      </c>
      <c r="C226" s="174" t="s">
        <v>112</v>
      </c>
      <c r="D226" s="175">
        <f>'№6'!F124</f>
        <v>77.3</v>
      </c>
      <c r="E226" s="175">
        <f>'№6'!G124</f>
        <v>0</v>
      </c>
    </row>
    <row r="227" spans="1:5" ht="31.5">
      <c r="A227" s="170" t="s">
        <v>226</v>
      </c>
      <c r="B227" s="170" t="s">
        <v>93</v>
      </c>
      <c r="C227" s="187" t="s">
        <v>358</v>
      </c>
      <c r="D227" s="172">
        <f>D228+D232+D230</f>
        <v>3928</v>
      </c>
      <c r="E227" s="172">
        <f aca="true" t="shared" si="108" ref="E227">E228+E232+E230</f>
        <v>3928</v>
      </c>
    </row>
    <row r="228" spans="1:5" ht="31.5">
      <c r="A228" s="249" t="s">
        <v>227</v>
      </c>
      <c r="B228" s="173" t="s">
        <v>93</v>
      </c>
      <c r="C228" s="174" t="s">
        <v>361</v>
      </c>
      <c r="D228" s="175">
        <f>D229</f>
        <v>3500</v>
      </c>
      <c r="E228" s="175">
        <f aca="true" t="shared" si="109" ref="E228">E229</f>
        <v>3500</v>
      </c>
    </row>
    <row r="229" spans="1:5" ht="12.75">
      <c r="A229" s="249" t="s">
        <v>227</v>
      </c>
      <c r="B229" s="249" t="s">
        <v>25</v>
      </c>
      <c r="C229" s="174" t="s">
        <v>112</v>
      </c>
      <c r="D229" s="175">
        <f>'№6'!F127</f>
        <v>3500</v>
      </c>
      <c r="E229" s="175">
        <f>'№6'!G127</f>
        <v>3500</v>
      </c>
    </row>
    <row r="230" spans="1:5" ht="31.5">
      <c r="A230" s="14" t="s">
        <v>593</v>
      </c>
      <c r="B230" s="15"/>
      <c r="C230" s="48" t="s">
        <v>594</v>
      </c>
      <c r="D230" s="175">
        <f>D231</f>
        <v>250.7</v>
      </c>
      <c r="E230" s="175">
        <f aca="true" t="shared" si="110" ref="E230">E231</f>
        <v>250.7</v>
      </c>
    </row>
    <row r="231" spans="1:5" ht="12.75">
      <c r="A231" s="14" t="s">
        <v>593</v>
      </c>
      <c r="B231" s="249" t="s">
        <v>25</v>
      </c>
      <c r="C231" s="174" t="s">
        <v>112</v>
      </c>
      <c r="D231" s="175">
        <f>'№6'!F130</f>
        <v>250.7</v>
      </c>
      <c r="E231" s="175">
        <f>'№6'!G130</f>
        <v>250.7</v>
      </c>
    </row>
    <row r="232" spans="1:5" ht="31.5">
      <c r="A232" s="53" t="s">
        <v>589</v>
      </c>
      <c r="B232" s="53" t="s">
        <v>93</v>
      </c>
      <c r="C232" s="54" t="s">
        <v>590</v>
      </c>
      <c r="D232" s="175">
        <f>D233</f>
        <v>177.3</v>
      </c>
      <c r="E232" s="175">
        <f aca="true" t="shared" si="111" ref="E232">E233</f>
        <v>177.3</v>
      </c>
    </row>
    <row r="233" spans="1:5" ht="12.75">
      <c r="A233" s="53" t="s">
        <v>589</v>
      </c>
      <c r="B233" s="249" t="s">
        <v>25</v>
      </c>
      <c r="C233" s="174" t="s">
        <v>112</v>
      </c>
      <c r="D233" s="175">
        <f>'№6'!F132</f>
        <v>177.3</v>
      </c>
      <c r="E233" s="175">
        <f>'№6'!G132</f>
        <v>177.3</v>
      </c>
    </row>
    <row r="234" spans="1:5" ht="47.25">
      <c r="A234" s="170" t="s">
        <v>228</v>
      </c>
      <c r="B234" s="170" t="s">
        <v>93</v>
      </c>
      <c r="C234" s="187" t="s">
        <v>362</v>
      </c>
      <c r="D234" s="172">
        <f>D235+D242</f>
        <v>575.9</v>
      </c>
      <c r="E234" s="172">
        <f aca="true" t="shared" si="112" ref="E234">E235+E242</f>
        <v>575.9</v>
      </c>
    </row>
    <row r="235" spans="1:5" ht="31.5">
      <c r="A235" s="170" t="s">
        <v>229</v>
      </c>
      <c r="B235" s="170" t="s">
        <v>93</v>
      </c>
      <c r="C235" s="187" t="s">
        <v>163</v>
      </c>
      <c r="D235" s="172">
        <f>D236+D238+D240</f>
        <v>65.3</v>
      </c>
      <c r="E235" s="172">
        <f aca="true" t="shared" si="113" ref="E235">E236+E238+E240</f>
        <v>65.3</v>
      </c>
    </row>
    <row r="236" spans="1:5" ht="33" customHeight="1">
      <c r="A236" s="249" t="s">
        <v>230</v>
      </c>
      <c r="B236" s="173" t="s">
        <v>93</v>
      </c>
      <c r="C236" s="174" t="s">
        <v>164</v>
      </c>
      <c r="D236" s="175">
        <f>D237</f>
        <v>26</v>
      </c>
      <c r="E236" s="175">
        <f aca="true" t="shared" si="114" ref="E236">E237</f>
        <v>26</v>
      </c>
    </row>
    <row r="237" spans="1:5" ht="12.75">
      <c r="A237" s="249" t="s">
        <v>230</v>
      </c>
      <c r="B237" s="249" t="s">
        <v>25</v>
      </c>
      <c r="C237" s="174" t="s">
        <v>112</v>
      </c>
      <c r="D237" s="175">
        <f>'№6'!F137</f>
        <v>26</v>
      </c>
      <c r="E237" s="175">
        <f>'№6'!G137</f>
        <v>26</v>
      </c>
    </row>
    <row r="238" spans="1:5" ht="47.25">
      <c r="A238" s="249" t="s">
        <v>365</v>
      </c>
      <c r="B238" s="173" t="s">
        <v>93</v>
      </c>
      <c r="C238" s="54" t="s">
        <v>480</v>
      </c>
      <c r="D238" s="175">
        <f>D239</f>
        <v>34</v>
      </c>
      <c r="E238" s="175">
        <f aca="true" t="shared" si="115" ref="E238">E239</f>
        <v>34</v>
      </c>
    </row>
    <row r="239" spans="1:5" ht="12.75">
      <c r="A239" s="249" t="s">
        <v>365</v>
      </c>
      <c r="B239" s="249" t="s">
        <v>25</v>
      </c>
      <c r="C239" s="174" t="s">
        <v>112</v>
      </c>
      <c r="D239" s="175">
        <f>'№6'!F139</f>
        <v>34</v>
      </c>
      <c r="E239" s="175">
        <f>'№6'!G139</f>
        <v>34</v>
      </c>
    </row>
    <row r="240" spans="1:5" ht="94.5">
      <c r="A240" s="249" t="s">
        <v>231</v>
      </c>
      <c r="B240" s="173" t="s">
        <v>93</v>
      </c>
      <c r="C240" s="174" t="s">
        <v>368</v>
      </c>
      <c r="D240" s="175">
        <f>D241</f>
        <v>5.3</v>
      </c>
      <c r="E240" s="175">
        <f aca="true" t="shared" si="116" ref="E240">E241</f>
        <v>5.3</v>
      </c>
    </row>
    <row r="241" spans="1:5" ht="12.75">
      <c r="A241" s="249" t="s">
        <v>231</v>
      </c>
      <c r="B241" s="249" t="s">
        <v>25</v>
      </c>
      <c r="C241" s="174" t="s">
        <v>112</v>
      </c>
      <c r="D241" s="175">
        <f>'№6'!F142</f>
        <v>5.3</v>
      </c>
      <c r="E241" s="175">
        <f>'№6'!G142</f>
        <v>5.3</v>
      </c>
    </row>
    <row r="242" spans="1:5" ht="31.5">
      <c r="A242" s="170" t="s">
        <v>232</v>
      </c>
      <c r="B242" s="170" t="s">
        <v>93</v>
      </c>
      <c r="C242" s="187" t="s">
        <v>165</v>
      </c>
      <c r="D242" s="172">
        <f>D243+D245</f>
        <v>510.59999999999997</v>
      </c>
      <c r="E242" s="172">
        <f aca="true" t="shared" si="117" ref="E242">E243+E245</f>
        <v>510.6</v>
      </c>
    </row>
    <row r="243" spans="1:5" ht="31.5">
      <c r="A243" s="249" t="s">
        <v>233</v>
      </c>
      <c r="B243" s="173" t="s">
        <v>93</v>
      </c>
      <c r="C243" s="174" t="s">
        <v>166</v>
      </c>
      <c r="D243" s="175">
        <f>D244</f>
        <v>379.79999999999995</v>
      </c>
      <c r="E243" s="175">
        <f aca="true" t="shared" si="118" ref="E243">E244</f>
        <v>379.8</v>
      </c>
    </row>
    <row r="244" spans="1:5" ht="12.75">
      <c r="A244" s="249" t="s">
        <v>233</v>
      </c>
      <c r="B244" s="249" t="s">
        <v>25</v>
      </c>
      <c r="C244" s="174" t="s">
        <v>112</v>
      </c>
      <c r="D244" s="175">
        <f>'№6'!F146</f>
        <v>379.79999999999995</v>
      </c>
      <c r="E244" s="175">
        <f>'№6'!G146</f>
        <v>379.8</v>
      </c>
    </row>
    <row r="245" spans="1:5" ht="31.5">
      <c r="A245" s="249" t="s">
        <v>234</v>
      </c>
      <c r="B245" s="173" t="s">
        <v>93</v>
      </c>
      <c r="C245" s="174" t="s">
        <v>167</v>
      </c>
      <c r="D245" s="175">
        <f>D246</f>
        <v>130.8</v>
      </c>
      <c r="E245" s="175">
        <f aca="true" t="shared" si="119" ref="E245">E246</f>
        <v>130.8</v>
      </c>
    </row>
    <row r="246" spans="1:5" ht="12.75">
      <c r="A246" s="249" t="s">
        <v>234</v>
      </c>
      <c r="B246" s="249" t="s">
        <v>25</v>
      </c>
      <c r="C246" s="174" t="s">
        <v>112</v>
      </c>
      <c r="D246" s="175">
        <f>'№6'!F148</f>
        <v>130.8</v>
      </c>
      <c r="E246" s="175">
        <f>'№6'!G148</f>
        <v>130.8</v>
      </c>
    </row>
    <row r="247" spans="1:5" ht="47.25">
      <c r="A247" s="170" t="s">
        <v>199</v>
      </c>
      <c r="B247" s="170" t="s">
        <v>93</v>
      </c>
      <c r="C247" s="187" t="s">
        <v>326</v>
      </c>
      <c r="D247" s="172">
        <f>D248+D253+D258+D266+D279+D286+D263</f>
        <v>51659.8</v>
      </c>
      <c r="E247" s="172">
        <f aca="true" t="shared" si="120" ref="E247">E248+E253+E258+E266+E279+E286+E263</f>
        <v>50633.799999999996</v>
      </c>
    </row>
    <row r="248" spans="1:5" ht="63">
      <c r="A248" s="170" t="s">
        <v>205</v>
      </c>
      <c r="B248" s="170" t="s">
        <v>93</v>
      </c>
      <c r="C248" s="187" t="s">
        <v>332</v>
      </c>
      <c r="D248" s="172">
        <f>D249+D251</f>
        <v>1069.7</v>
      </c>
      <c r="E248" s="172">
        <f aca="true" t="shared" si="121" ref="E248">E249+E251</f>
        <v>646</v>
      </c>
    </row>
    <row r="249" spans="1:5" ht="31.5">
      <c r="A249" s="249" t="s">
        <v>206</v>
      </c>
      <c r="B249" s="173" t="s">
        <v>93</v>
      </c>
      <c r="C249" s="174" t="s">
        <v>156</v>
      </c>
      <c r="D249" s="175">
        <f>D250</f>
        <v>615.4</v>
      </c>
      <c r="E249" s="175">
        <f aca="true" t="shared" si="122" ref="E249">E250</f>
        <v>612</v>
      </c>
    </row>
    <row r="250" spans="1:5" ht="12.75">
      <c r="A250" s="249" t="s">
        <v>206</v>
      </c>
      <c r="B250" s="249" t="s">
        <v>25</v>
      </c>
      <c r="C250" s="174" t="s">
        <v>112</v>
      </c>
      <c r="D250" s="175">
        <f>'№6'!F36</f>
        <v>615.4</v>
      </c>
      <c r="E250" s="175">
        <f>'№6'!G36</f>
        <v>612</v>
      </c>
    </row>
    <row r="251" spans="1:5" ht="31.5">
      <c r="A251" s="249" t="s">
        <v>335</v>
      </c>
      <c r="B251" s="173" t="s">
        <v>93</v>
      </c>
      <c r="C251" s="174" t="s">
        <v>336</v>
      </c>
      <c r="D251" s="175">
        <f>D252</f>
        <v>454.30000000000007</v>
      </c>
      <c r="E251" s="175">
        <f aca="true" t="shared" si="123" ref="E251">E252</f>
        <v>34</v>
      </c>
    </row>
    <row r="252" spans="1:5" ht="12.75">
      <c r="A252" s="249" t="s">
        <v>335</v>
      </c>
      <c r="B252" s="249" t="s">
        <v>25</v>
      </c>
      <c r="C252" s="174" t="s">
        <v>112</v>
      </c>
      <c r="D252" s="175">
        <f>'№6'!F38</f>
        <v>454.30000000000007</v>
      </c>
      <c r="E252" s="175">
        <f>'№6'!G38</f>
        <v>34</v>
      </c>
    </row>
    <row r="253" spans="1:5" ht="78" customHeight="1">
      <c r="A253" s="170" t="s">
        <v>207</v>
      </c>
      <c r="B253" s="170" t="s">
        <v>93</v>
      </c>
      <c r="C253" s="187" t="s">
        <v>157</v>
      </c>
      <c r="D253" s="172">
        <f>D254+D256</f>
        <v>76.5</v>
      </c>
      <c r="E253" s="172">
        <f aca="true" t="shared" si="124" ref="E253">E254+E256</f>
        <v>75.5</v>
      </c>
    </row>
    <row r="254" spans="1:5" ht="47.25">
      <c r="A254" s="249" t="s">
        <v>208</v>
      </c>
      <c r="B254" s="173" t="s">
        <v>93</v>
      </c>
      <c r="C254" s="174" t="s">
        <v>158</v>
      </c>
      <c r="D254" s="175">
        <f>D255</f>
        <v>51</v>
      </c>
      <c r="E254" s="175">
        <f aca="true" t="shared" si="125" ref="E254">E255</f>
        <v>50</v>
      </c>
    </row>
    <row r="255" spans="1:5" ht="12.75">
      <c r="A255" s="249" t="s">
        <v>208</v>
      </c>
      <c r="B255" s="249" t="s">
        <v>25</v>
      </c>
      <c r="C255" s="174" t="s">
        <v>112</v>
      </c>
      <c r="D255" s="175">
        <f>'№6'!F42</f>
        <v>51</v>
      </c>
      <c r="E255" s="175">
        <f>'№6'!G42</f>
        <v>50</v>
      </c>
    </row>
    <row r="256" spans="1:5" ht="47.25">
      <c r="A256" s="249" t="s">
        <v>209</v>
      </c>
      <c r="B256" s="173" t="s">
        <v>93</v>
      </c>
      <c r="C256" s="174" t="s">
        <v>159</v>
      </c>
      <c r="D256" s="175">
        <f>D257</f>
        <v>25.5</v>
      </c>
      <c r="E256" s="175">
        <f aca="true" t="shared" si="126" ref="E256">E257</f>
        <v>25.5</v>
      </c>
    </row>
    <row r="257" spans="1:5" ht="12.75">
      <c r="A257" s="249" t="s">
        <v>209</v>
      </c>
      <c r="B257" s="249" t="s">
        <v>25</v>
      </c>
      <c r="C257" s="174" t="s">
        <v>112</v>
      </c>
      <c r="D257" s="175">
        <f>'№6'!F45</f>
        <v>25.5</v>
      </c>
      <c r="E257" s="175">
        <f>'№6'!G45</f>
        <v>25.5</v>
      </c>
    </row>
    <row r="258" spans="1:5" ht="31.5">
      <c r="A258" s="170" t="s">
        <v>210</v>
      </c>
      <c r="B258" s="170" t="s">
        <v>93</v>
      </c>
      <c r="C258" s="187" t="s">
        <v>160</v>
      </c>
      <c r="D258" s="172">
        <f>D259+D261</f>
        <v>205.7</v>
      </c>
      <c r="E258" s="172">
        <f aca="true" t="shared" si="127" ref="E258">E259+E261</f>
        <v>146.39999999999998</v>
      </c>
    </row>
    <row r="259" spans="1:5" ht="31.5">
      <c r="A259" s="249" t="s">
        <v>211</v>
      </c>
      <c r="B259" s="173" t="s">
        <v>93</v>
      </c>
      <c r="C259" s="174" t="s">
        <v>343</v>
      </c>
      <c r="D259" s="175">
        <f>D260</f>
        <v>107.1</v>
      </c>
      <c r="E259" s="175">
        <f aca="true" t="shared" si="128" ref="E259">E260</f>
        <v>47.8</v>
      </c>
    </row>
    <row r="260" spans="1:5" ht="12.75">
      <c r="A260" s="249" t="s">
        <v>211</v>
      </c>
      <c r="B260" s="249" t="s">
        <v>25</v>
      </c>
      <c r="C260" s="174" t="s">
        <v>112</v>
      </c>
      <c r="D260" s="175">
        <f>'№6'!F49</f>
        <v>107.1</v>
      </c>
      <c r="E260" s="175">
        <f>'№6'!G49</f>
        <v>47.8</v>
      </c>
    </row>
    <row r="261" spans="1:5" ht="31.5">
      <c r="A261" s="53" t="s">
        <v>625</v>
      </c>
      <c r="B261" s="53"/>
      <c r="C261" s="54" t="s">
        <v>626</v>
      </c>
      <c r="D261" s="175">
        <f>D262</f>
        <v>98.6</v>
      </c>
      <c r="E261" s="175">
        <f aca="true" t="shared" si="129" ref="E261">E262</f>
        <v>98.6</v>
      </c>
    </row>
    <row r="262" spans="1:5" ht="12.75">
      <c r="A262" s="53" t="s">
        <v>625</v>
      </c>
      <c r="B262" s="249" t="s">
        <v>25</v>
      </c>
      <c r="C262" s="174" t="s">
        <v>112</v>
      </c>
      <c r="D262" s="175">
        <f>'№6'!F52</f>
        <v>98.6</v>
      </c>
      <c r="E262" s="175">
        <f>'№6'!G52</f>
        <v>98.6</v>
      </c>
    </row>
    <row r="263" spans="1:5" ht="31.5">
      <c r="A263" s="170" t="s">
        <v>216</v>
      </c>
      <c r="B263" s="170"/>
      <c r="C263" s="187" t="s">
        <v>161</v>
      </c>
      <c r="D263" s="172">
        <f>D264</f>
        <v>6537.3</v>
      </c>
      <c r="E263" s="172">
        <f aca="true" t="shared" si="130" ref="E263:E264">E264</f>
        <v>6537.3</v>
      </c>
    </row>
    <row r="264" spans="1:5" ht="31.5">
      <c r="A264" s="53" t="s">
        <v>217</v>
      </c>
      <c r="B264" s="53"/>
      <c r="C264" s="54" t="s">
        <v>162</v>
      </c>
      <c r="D264" s="175">
        <f>D265</f>
        <v>6537.3</v>
      </c>
      <c r="E264" s="175">
        <f t="shared" si="130"/>
        <v>6537.3</v>
      </c>
    </row>
    <row r="265" spans="1:5" ht="12.75">
      <c r="A265" s="53" t="s">
        <v>217</v>
      </c>
      <c r="B265" s="249" t="s">
        <v>25</v>
      </c>
      <c r="C265" s="174" t="s">
        <v>112</v>
      </c>
      <c r="D265" s="175">
        <f>'№6'!F85</f>
        <v>6537.3</v>
      </c>
      <c r="E265" s="175">
        <f>'№6'!G85</f>
        <v>6537.3</v>
      </c>
    </row>
    <row r="266" spans="1:5" ht="63">
      <c r="A266" s="170" t="s">
        <v>212</v>
      </c>
      <c r="B266" s="170" t="s">
        <v>93</v>
      </c>
      <c r="C266" s="187" t="s">
        <v>154</v>
      </c>
      <c r="D266" s="172">
        <f>D269+D271+D273+D275+D277+D267</f>
        <v>3024.7</v>
      </c>
      <c r="E266" s="172">
        <f aca="true" t="shared" si="131" ref="E266">E269+E271+E273+E275+E277+E267</f>
        <v>3001.7</v>
      </c>
    </row>
    <row r="267" spans="1:5" ht="78.75">
      <c r="A267" s="14" t="s">
        <v>564</v>
      </c>
      <c r="B267" s="248"/>
      <c r="C267" s="48" t="s">
        <v>565</v>
      </c>
      <c r="D267" s="175">
        <f>D268</f>
        <v>485.9</v>
      </c>
      <c r="E267" s="175">
        <f aca="true" t="shared" si="132" ref="E267">E268</f>
        <v>485.9</v>
      </c>
    </row>
    <row r="268" spans="1:5" ht="12.75">
      <c r="A268" s="14" t="s">
        <v>564</v>
      </c>
      <c r="B268" s="249" t="s">
        <v>25</v>
      </c>
      <c r="C268" s="174" t="s">
        <v>112</v>
      </c>
      <c r="D268" s="175">
        <f>'№6'!F281</f>
        <v>485.9</v>
      </c>
      <c r="E268" s="175">
        <f>'№6'!G281</f>
        <v>485.9</v>
      </c>
    </row>
    <row r="269" spans="1:5" ht="78.75">
      <c r="A269" s="249" t="s">
        <v>253</v>
      </c>
      <c r="B269" s="173" t="s">
        <v>93</v>
      </c>
      <c r="C269" s="174" t="s">
        <v>407</v>
      </c>
      <c r="D269" s="175">
        <f>D270</f>
        <v>942.5</v>
      </c>
      <c r="E269" s="175">
        <f aca="true" t="shared" si="133" ref="E269">E270</f>
        <v>942.5</v>
      </c>
    </row>
    <row r="270" spans="1:5" ht="12.75">
      <c r="A270" s="249" t="s">
        <v>253</v>
      </c>
      <c r="B270" s="249" t="s">
        <v>25</v>
      </c>
      <c r="C270" s="174" t="s">
        <v>112</v>
      </c>
      <c r="D270" s="175">
        <f>'№6'!F284</f>
        <v>942.5</v>
      </c>
      <c r="E270" s="175">
        <f>'№6'!G284</f>
        <v>942.5</v>
      </c>
    </row>
    <row r="271" spans="1:5" ht="78.75">
      <c r="A271" s="249" t="s">
        <v>254</v>
      </c>
      <c r="B271" s="173" t="s">
        <v>93</v>
      </c>
      <c r="C271" s="174" t="s">
        <v>192</v>
      </c>
      <c r="D271" s="175">
        <f>D272</f>
        <v>489.6</v>
      </c>
      <c r="E271" s="175">
        <f aca="true" t="shared" si="134" ref="E271">E272</f>
        <v>489.6</v>
      </c>
    </row>
    <row r="272" spans="1:5" ht="12.75">
      <c r="A272" s="249" t="s">
        <v>254</v>
      </c>
      <c r="B272" s="249" t="s">
        <v>25</v>
      </c>
      <c r="C272" s="174" t="s">
        <v>112</v>
      </c>
      <c r="D272" s="175">
        <f>'№6'!F285</f>
        <v>489.6</v>
      </c>
      <c r="E272" s="175">
        <f>'№6'!G285</f>
        <v>489.6</v>
      </c>
    </row>
    <row r="273" spans="1:5" ht="78.75">
      <c r="A273" s="249" t="s">
        <v>408</v>
      </c>
      <c r="B273" s="173" t="s">
        <v>93</v>
      </c>
      <c r="C273" s="174" t="s">
        <v>409</v>
      </c>
      <c r="D273" s="175">
        <f>D274</f>
        <v>636.5</v>
      </c>
      <c r="E273" s="175">
        <f aca="true" t="shared" si="135" ref="E273">E274</f>
        <v>636.5</v>
      </c>
    </row>
    <row r="274" spans="1:5" ht="12.75">
      <c r="A274" s="249" t="s">
        <v>408</v>
      </c>
      <c r="B274" s="249" t="s">
        <v>25</v>
      </c>
      <c r="C274" s="174" t="s">
        <v>112</v>
      </c>
      <c r="D274" s="175">
        <f>'№6'!F287</f>
        <v>636.5</v>
      </c>
      <c r="E274" s="175">
        <f>'№6'!G287</f>
        <v>636.5</v>
      </c>
    </row>
    <row r="275" spans="1:5" ht="31.5">
      <c r="A275" s="249" t="s">
        <v>213</v>
      </c>
      <c r="B275" s="173" t="s">
        <v>93</v>
      </c>
      <c r="C275" s="174" t="s">
        <v>155</v>
      </c>
      <c r="D275" s="175">
        <f>D276</f>
        <v>62.199999999999996</v>
      </c>
      <c r="E275" s="175">
        <f aca="true" t="shared" si="136" ref="E275">E276</f>
        <v>62.2</v>
      </c>
    </row>
    <row r="276" spans="1:5" ht="12.75">
      <c r="A276" s="249" t="s">
        <v>213</v>
      </c>
      <c r="B276" s="249" t="s">
        <v>25</v>
      </c>
      <c r="C276" s="174" t="s">
        <v>112</v>
      </c>
      <c r="D276" s="175">
        <f>'№6'!F55</f>
        <v>62.199999999999996</v>
      </c>
      <c r="E276" s="175">
        <f>'№6'!G55</f>
        <v>62.2</v>
      </c>
    </row>
    <row r="277" spans="1:5" ht="31.5">
      <c r="A277" s="249" t="s">
        <v>250</v>
      </c>
      <c r="B277" s="173" t="s">
        <v>93</v>
      </c>
      <c r="C277" s="174" t="s">
        <v>401</v>
      </c>
      <c r="D277" s="175">
        <f>D278</f>
        <v>408</v>
      </c>
      <c r="E277" s="175">
        <f aca="true" t="shared" si="137" ref="E277">E278</f>
        <v>385</v>
      </c>
    </row>
    <row r="278" spans="1:5" ht="12.75">
      <c r="A278" s="249" t="s">
        <v>250</v>
      </c>
      <c r="B278" s="249" t="s">
        <v>25</v>
      </c>
      <c r="C278" s="174" t="s">
        <v>112</v>
      </c>
      <c r="D278" s="175">
        <f>'№6'!F264</f>
        <v>408</v>
      </c>
      <c r="E278" s="175">
        <f>'№6'!G264</f>
        <v>385</v>
      </c>
    </row>
    <row r="279" spans="1:5" ht="31.5">
      <c r="A279" s="170" t="s">
        <v>248</v>
      </c>
      <c r="B279" s="170" t="s">
        <v>93</v>
      </c>
      <c r="C279" s="187" t="s">
        <v>153</v>
      </c>
      <c r="D279" s="172">
        <f>D280+D282+D284</f>
        <v>1593.3</v>
      </c>
      <c r="E279" s="172">
        <f aca="true" t="shared" si="138" ref="E279">E280+E282+E284</f>
        <v>1479.4</v>
      </c>
    </row>
    <row r="280" spans="1:5" ht="47.25" customHeight="1">
      <c r="A280" s="249" t="s">
        <v>249</v>
      </c>
      <c r="B280" s="173" t="s">
        <v>93</v>
      </c>
      <c r="C280" s="174" t="s">
        <v>94</v>
      </c>
      <c r="D280" s="175">
        <f>D281</f>
        <v>1313.3</v>
      </c>
      <c r="E280" s="175">
        <f aca="true" t="shared" si="139" ref="E280">E281</f>
        <v>1207.4</v>
      </c>
    </row>
    <row r="281" spans="1:5" ht="12.75">
      <c r="A281" s="249" t="s">
        <v>249</v>
      </c>
      <c r="B281" s="249" t="s">
        <v>25</v>
      </c>
      <c r="C281" s="174" t="s">
        <v>112</v>
      </c>
      <c r="D281" s="175">
        <f>'№6'!F259</f>
        <v>1313.3</v>
      </c>
      <c r="E281" s="175">
        <f>'№6'!G259</f>
        <v>1207.4</v>
      </c>
    </row>
    <row r="282" spans="1:5" ht="31.5">
      <c r="A282" s="249" t="s">
        <v>252</v>
      </c>
      <c r="B282" s="173" t="s">
        <v>93</v>
      </c>
      <c r="C282" s="174" t="s">
        <v>402</v>
      </c>
      <c r="D282" s="175">
        <f>D283</f>
        <v>121</v>
      </c>
      <c r="E282" s="175">
        <f aca="true" t="shared" si="140" ref="E282">E283</f>
        <v>113</v>
      </c>
    </row>
    <row r="283" spans="1:5" ht="12.75">
      <c r="A283" s="249" t="s">
        <v>252</v>
      </c>
      <c r="B283" s="249" t="s">
        <v>25</v>
      </c>
      <c r="C283" s="174" t="s">
        <v>112</v>
      </c>
      <c r="D283" s="175">
        <f>'№6'!F270</f>
        <v>121</v>
      </c>
      <c r="E283" s="175">
        <f>'№6'!G270</f>
        <v>113</v>
      </c>
    </row>
    <row r="284" spans="1:5" ht="31.5">
      <c r="A284" s="249" t="s">
        <v>251</v>
      </c>
      <c r="B284" s="173" t="s">
        <v>93</v>
      </c>
      <c r="C284" s="174" t="s">
        <v>195</v>
      </c>
      <c r="D284" s="175">
        <f>D285</f>
        <v>159</v>
      </c>
      <c r="E284" s="175">
        <f aca="true" t="shared" si="141" ref="E284">E285</f>
        <v>159</v>
      </c>
    </row>
    <row r="285" spans="1:5" ht="12.75">
      <c r="A285" s="249" t="s">
        <v>251</v>
      </c>
      <c r="B285" s="249" t="s">
        <v>25</v>
      </c>
      <c r="C285" s="174" t="s">
        <v>112</v>
      </c>
      <c r="D285" s="175">
        <f>'№6'!F274</f>
        <v>159</v>
      </c>
      <c r="E285" s="175">
        <f>'№6'!G274</f>
        <v>159</v>
      </c>
    </row>
    <row r="286" spans="1:5" ht="12.75">
      <c r="A286" s="170" t="s">
        <v>200</v>
      </c>
      <c r="B286" s="170" t="s">
        <v>93</v>
      </c>
      <c r="C286" s="187" t="s">
        <v>2</v>
      </c>
      <c r="D286" s="172">
        <f>D287+D289+D293+D295+D297+D299+D291</f>
        <v>39152.6</v>
      </c>
      <c r="E286" s="172">
        <f aca="true" t="shared" si="142" ref="E286">E287+E289+E293+E295+E297+E299+E291</f>
        <v>38747.49999999999</v>
      </c>
    </row>
    <row r="287" spans="1:5" ht="47.25">
      <c r="A287" s="249" t="s">
        <v>204</v>
      </c>
      <c r="B287" s="173" t="s">
        <v>93</v>
      </c>
      <c r="C287" s="174" t="s">
        <v>310</v>
      </c>
      <c r="D287" s="175">
        <f>D288</f>
        <v>650</v>
      </c>
      <c r="E287" s="175">
        <f aca="true" t="shared" si="143" ref="E287">E288</f>
        <v>650</v>
      </c>
    </row>
    <row r="288" spans="1:5" ht="12.75">
      <c r="A288" s="249" t="s">
        <v>204</v>
      </c>
      <c r="B288" s="249" t="s">
        <v>25</v>
      </c>
      <c r="C288" s="174" t="s">
        <v>112</v>
      </c>
      <c r="D288" s="175">
        <f>'№6'!F18</f>
        <v>650</v>
      </c>
      <c r="E288" s="175">
        <f>'№6'!G18</f>
        <v>650</v>
      </c>
    </row>
    <row r="289" spans="1:5" ht="78.75">
      <c r="A289" s="249" t="s">
        <v>214</v>
      </c>
      <c r="B289" s="173" t="s">
        <v>93</v>
      </c>
      <c r="C289" s="174" t="s">
        <v>190</v>
      </c>
      <c r="D289" s="175">
        <f>D290</f>
        <v>264</v>
      </c>
      <c r="E289" s="175">
        <f aca="true" t="shared" si="144" ref="E289">E290</f>
        <v>255.8</v>
      </c>
    </row>
    <row r="290" spans="1:5" ht="12.75">
      <c r="A290" s="249" t="s">
        <v>214</v>
      </c>
      <c r="B290" s="249" t="s">
        <v>25</v>
      </c>
      <c r="C290" s="174" t="s">
        <v>112</v>
      </c>
      <c r="D290" s="175">
        <f>'№6'!F60</f>
        <v>264</v>
      </c>
      <c r="E290" s="175">
        <f>'№6'!G60</f>
        <v>255.8</v>
      </c>
    </row>
    <row r="291" spans="1:5" ht="78.75">
      <c r="A291" s="14" t="s">
        <v>554</v>
      </c>
      <c r="B291" s="248"/>
      <c r="C291" s="59" t="s">
        <v>555</v>
      </c>
      <c r="D291" s="175">
        <f>D292</f>
        <v>2.6</v>
      </c>
      <c r="E291" s="175">
        <f aca="true" t="shared" si="145" ref="E291">E292</f>
        <v>2.6</v>
      </c>
    </row>
    <row r="292" spans="1:5" ht="12.75">
      <c r="A292" s="14" t="s">
        <v>554</v>
      </c>
      <c r="B292" s="249" t="s">
        <v>25</v>
      </c>
      <c r="C292" s="174" t="s">
        <v>112</v>
      </c>
      <c r="D292" s="175">
        <f>'№6'!F64</f>
        <v>2.6</v>
      </c>
      <c r="E292" s="175">
        <f>'№6'!G64</f>
        <v>2.6</v>
      </c>
    </row>
    <row r="293" spans="1:5" ht="12.75">
      <c r="A293" s="249" t="s">
        <v>201</v>
      </c>
      <c r="B293" s="173" t="s">
        <v>93</v>
      </c>
      <c r="C293" s="174" t="s">
        <v>43</v>
      </c>
      <c r="D293" s="175">
        <f>D294</f>
        <v>1589.9</v>
      </c>
      <c r="E293" s="175">
        <f aca="true" t="shared" si="146" ref="E293">E294</f>
        <v>1589.9</v>
      </c>
    </row>
    <row r="294" spans="1:5" ht="12.75">
      <c r="A294" s="249" t="s">
        <v>201</v>
      </c>
      <c r="B294" s="249" t="s">
        <v>25</v>
      </c>
      <c r="C294" s="174" t="s">
        <v>112</v>
      </c>
      <c r="D294" s="175">
        <f>'№6'!F12</f>
        <v>1589.9</v>
      </c>
      <c r="E294" s="175">
        <f>'№6'!G12</f>
        <v>1589.9</v>
      </c>
    </row>
    <row r="295" spans="1:5" ht="63">
      <c r="A295" s="249" t="s">
        <v>202</v>
      </c>
      <c r="B295" s="173" t="s">
        <v>93</v>
      </c>
      <c r="C295" s="174" t="s">
        <v>330</v>
      </c>
      <c r="D295" s="175">
        <f>D296</f>
        <v>35001.4</v>
      </c>
      <c r="E295" s="175">
        <f aca="true" t="shared" si="147" ref="E295">E296</f>
        <v>34604.5</v>
      </c>
    </row>
    <row r="296" spans="1:5" ht="12.75">
      <c r="A296" s="249" t="s">
        <v>202</v>
      </c>
      <c r="B296" s="249" t="s">
        <v>25</v>
      </c>
      <c r="C296" s="174" t="s">
        <v>112</v>
      </c>
      <c r="D296" s="175">
        <f>'№6'!F21</f>
        <v>35001.4</v>
      </c>
      <c r="E296" s="175">
        <f>'№6'!G21</f>
        <v>34604.5</v>
      </c>
    </row>
    <row r="297" spans="1:5" ht="47.25">
      <c r="A297" s="249" t="s">
        <v>203</v>
      </c>
      <c r="B297" s="173" t="s">
        <v>93</v>
      </c>
      <c r="C297" s="174" t="s">
        <v>331</v>
      </c>
      <c r="D297" s="175">
        <f>D298</f>
        <v>251.2</v>
      </c>
      <c r="E297" s="175">
        <f aca="true" t="shared" si="148" ref="E297">E298</f>
        <v>251.2</v>
      </c>
    </row>
    <row r="298" spans="1:5" ht="12.75">
      <c r="A298" s="249" t="s">
        <v>203</v>
      </c>
      <c r="B298" s="249" t="s">
        <v>25</v>
      </c>
      <c r="C298" s="174" t="s">
        <v>112</v>
      </c>
      <c r="D298" s="175">
        <f>'№6'!F76+'№6'!F65+'№6'!F25</f>
        <v>251.2</v>
      </c>
      <c r="E298" s="175">
        <f>'№6'!G76+'№6'!G65+'№6'!G25</f>
        <v>251.2</v>
      </c>
    </row>
    <row r="299" spans="1:5" ht="31.5">
      <c r="A299" s="249" t="s">
        <v>215</v>
      </c>
      <c r="B299" s="173" t="s">
        <v>93</v>
      </c>
      <c r="C299" s="174" t="s">
        <v>346</v>
      </c>
      <c r="D299" s="175">
        <f>D300</f>
        <v>1393.5</v>
      </c>
      <c r="E299" s="175">
        <f aca="true" t="shared" si="149" ref="E299">E300</f>
        <v>1393.5</v>
      </c>
    </row>
    <row r="300" spans="1:5" ht="12.75">
      <c r="A300" s="249" t="s">
        <v>215</v>
      </c>
      <c r="B300" s="249" t="s">
        <v>25</v>
      </c>
      <c r="C300" s="174" t="s">
        <v>112</v>
      </c>
      <c r="D300" s="175">
        <f>'№6'!F78</f>
        <v>1393.5</v>
      </c>
      <c r="E300" s="175">
        <f>'№6'!G78</f>
        <v>1393.5</v>
      </c>
    </row>
    <row r="301" spans="1:5" ht="47.25">
      <c r="A301" s="170" t="s">
        <v>263</v>
      </c>
      <c r="B301" s="170" t="s">
        <v>93</v>
      </c>
      <c r="C301" s="187" t="s">
        <v>433</v>
      </c>
      <c r="D301" s="172">
        <f>D302+D311</f>
        <v>11223.2</v>
      </c>
      <c r="E301" s="172">
        <f>E302+E311</f>
        <v>10257</v>
      </c>
    </row>
    <row r="302" spans="1:5" ht="47.25">
      <c r="A302" s="170" t="s">
        <v>264</v>
      </c>
      <c r="B302" s="170" t="s">
        <v>93</v>
      </c>
      <c r="C302" s="187" t="s">
        <v>146</v>
      </c>
      <c r="D302" s="172">
        <f>D303+D305+D307+D309</f>
        <v>5387.000000000001</v>
      </c>
      <c r="E302" s="172">
        <f aca="true" t="shared" si="150" ref="E302">E303+E305+E307+E309</f>
        <v>4505.799999999999</v>
      </c>
    </row>
    <row r="303" spans="1:5" ht="47.25">
      <c r="A303" s="249" t="s">
        <v>270</v>
      </c>
      <c r="B303" s="173" t="s">
        <v>93</v>
      </c>
      <c r="C303" s="174" t="s">
        <v>193</v>
      </c>
      <c r="D303" s="175">
        <f>D304</f>
        <v>1524.6</v>
      </c>
      <c r="E303" s="175">
        <f aca="true" t="shared" si="151" ref="E303">E304</f>
        <v>1524.6</v>
      </c>
    </row>
    <row r="304" spans="1:5" ht="31.5">
      <c r="A304" s="249" t="s">
        <v>270</v>
      </c>
      <c r="B304" s="249" t="s">
        <v>58</v>
      </c>
      <c r="C304" s="54" t="s">
        <v>521</v>
      </c>
      <c r="D304" s="175">
        <f>'№6'!F348</f>
        <v>1524.6</v>
      </c>
      <c r="E304" s="175">
        <f>'№6'!G348</f>
        <v>1524.6</v>
      </c>
    </row>
    <row r="305" spans="1:5" ht="31.5">
      <c r="A305" s="249" t="s">
        <v>266</v>
      </c>
      <c r="B305" s="173" t="s">
        <v>93</v>
      </c>
      <c r="C305" s="174" t="s">
        <v>147</v>
      </c>
      <c r="D305" s="175">
        <f>D306</f>
        <v>2695.1000000000004</v>
      </c>
      <c r="E305" s="175">
        <f aca="true" t="shared" si="152" ref="E305">E306</f>
        <v>1866.8</v>
      </c>
    </row>
    <row r="306" spans="1:5" ht="31.5">
      <c r="A306" s="249" t="s">
        <v>266</v>
      </c>
      <c r="B306" s="249" t="s">
        <v>58</v>
      </c>
      <c r="C306" s="54" t="s">
        <v>521</v>
      </c>
      <c r="D306" s="175">
        <f>'№6'!F327</f>
        <v>2695.1000000000004</v>
      </c>
      <c r="E306" s="175">
        <f>'№6'!G327</f>
        <v>1866.8</v>
      </c>
    </row>
    <row r="307" spans="1:5" ht="31.5">
      <c r="A307" s="249" t="s">
        <v>267</v>
      </c>
      <c r="B307" s="173" t="s">
        <v>93</v>
      </c>
      <c r="C307" s="174" t="s">
        <v>436</v>
      </c>
      <c r="D307" s="175">
        <f>D308</f>
        <v>208</v>
      </c>
      <c r="E307" s="175">
        <f aca="true" t="shared" si="153" ref="E307">E308</f>
        <v>185.9</v>
      </c>
    </row>
    <row r="308" spans="1:5" ht="31.5">
      <c r="A308" s="249" t="s">
        <v>267</v>
      </c>
      <c r="B308" s="249" t="s">
        <v>58</v>
      </c>
      <c r="C308" s="54" t="s">
        <v>521</v>
      </c>
      <c r="D308" s="175">
        <f>'№6'!F329</f>
        <v>208</v>
      </c>
      <c r="E308" s="175">
        <f>'№6'!G329</f>
        <v>185.9</v>
      </c>
    </row>
    <row r="309" spans="1:5" ht="31.5">
      <c r="A309" s="249" t="s">
        <v>269</v>
      </c>
      <c r="B309" s="173" t="s">
        <v>93</v>
      </c>
      <c r="C309" s="174" t="s">
        <v>148</v>
      </c>
      <c r="D309" s="175">
        <f>D310</f>
        <v>959.3</v>
      </c>
      <c r="E309" s="175">
        <f aca="true" t="shared" si="154" ref="E309">E310</f>
        <v>928.5</v>
      </c>
    </row>
    <row r="310" spans="1:5" ht="31.5">
      <c r="A310" s="249" t="s">
        <v>269</v>
      </c>
      <c r="B310" s="249" t="s">
        <v>58</v>
      </c>
      <c r="C310" s="54" t="s">
        <v>521</v>
      </c>
      <c r="D310" s="175">
        <f>'№6'!F341</f>
        <v>959.3</v>
      </c>
      <c r="E310" s="175">
        <f>'№6'!G341</f>
        <v>928.5</v>
      </c>
    </row>
    <row r="311" spans="1:5" ht="12.75">
      <c r="A311" s="170" t="s">
        <v>268</v>
      </c>
      <c r="B311" s="170" t="s">
        <v>93</v>
      </c>
      <c r="C311" s="187" t="s">
        <v>2</v>
      </c>
      <c r="D311" s="172">
        <f>D312</f>
        <v>5836.2</v>
      </c>
      <c r="E311" s="172">
        <f aca="true" t="shared" si="155" ref="E311:E312">E312</f>
        <v>5751.2</v>
      </c>
    </row>
    <row r="312" spans="1:5" ht="63">
      <c r="A312" s="249" t="s">
        <v>265</v>
      </c>
      <c r="B312" s="173" t="s">
        <v>93</v>
      </c>
      <c r="C312" s="174" t="s">
        <v>330</v>
      </c>
      <c r="D312" s="175">
        <f>D313</f>
        <v>5836.2</v>
      </c>
      <c r="E312" s="175">
        <f t="shared" si="155"/>
        <v>5751.2</v>
      </c>
    </row>
    <row r="313" spans="1:5" ht="31.5">
      <c r="A313" s="249" t="s">
        <v>265</v>
      </c>
      <c r="B313" s="249" t="s">
        <v>58</v>
      </c>
      <c r="C313" s="54" t="s">
        <v>521</v>
      </c>
      <c r="D313" s="175">
        <f>'№6'!F333</f>
        <v>5836.2</v>
      </c>
      <c r="E313" s="175">
        <f>'№6'!G333</f>
        <v>5751.2</v>
      </c>
    </row>
    <row r="314" spans="1:5" ht="47.25">
      <c r="A314" s="170" t="s">
        <v>255</v>
      </c>
      <c r="B314" s="170" t="s">
        <v>93</v>
      </c>
      <c r="C314" s="187" t="s">
        <v>410</v>
      </c>
      <c r="D314" s="172">
        <f>D315+D318+D321+D324</f>
        <v>11188</v>
      </c>
      <c r="E314" s="172">
        <f aca="true" t="shared" si="156" ref="E314">E315+E318+E321+E324</f>
        <v>10951.6</v>
      </c>
    </row>
    <row r="315" spans="1:5" ht="31.5">
      <c r="A315" s="170" t="s">
        <v>259</v>
      </c>
      <c r="B315" s="170" t="s">
        <v>93</v>
      </c>
      <c r="C315" s="187" t="s">
        <v>415</v>
      </c>
      <c r="D315" s="172">
        <f>D316</f>
        <v>1114.7</v>
      </c>
      <c r="E315" s="172">
        <f aca="true" t="shared" si="157" ref="E315:E316">E316</f>
        <v>884</v>
      </c>
    </row>
    <row r="316" spans="1:5" ht="47.25">
      <c r="A316" s="249" t="s">
        <v>260</v>
      </c>
      <c r="B316" s="173" t="s">
        <v>93</v>
      </c>
      <c r="C316" s="174" t="s">
        <v>189</v>
      </c>
      <c r="D316" s="175">
        <f>D317</f>
        <v>1114.7</v>
      </c>
      <c r="E316" s="175">
        <f t="shared" si="157"/>
        <v>884</v>
      </c>
    </row>
    <row r="317" spans="1:5" ht="31.5">
      <c r="A317" s="249" t="s">
        <v>260</v>
      </c>
      <c r="B317" s="249" t="s">
        <v>60</v>
      </c>
      <c r="C317" s="54" t="s">
        <v>574</v>
      </c>
      <c r="D317" s="175">
        <f>'№6'!F309</f>
        <v>1114.7</v>
      </c>
      <c r="E317" s="175">
        <f>'№6'!G309</f>
        <v>884</v>
      </c>
    </row>
    <row r="318" spans="1:5" ht="47.25">
      <c r="A318" s="170" t="s">
        <v>424</v>
      </c>
      <c r="B318" s="170" t="s">
        <v>93</v>
      </c>
      <c r="C318" s="187" t="s">
        <v>425</v>
      </c>
      <c r="D318" s="172">
        <f>D319</f>
        <v>525.5</v>
      </c>
      <c r="E318" s="172">
        <f aca="true" t="shared" si="158" ref="E318:E319">E319</f>
        <v>520.2</v>
      </c>
    </row>
    <row r="319" spans="1:5" ht="12.75">
      <c r="A319" s="249" t="s">
        <v>428</v>
      </c>
      <c r="B319" s="173" t="s">
        <v>93</v>
      </c>
      <c r="C319" s="174" t="s">
        <v>429</v>
      </c>
      <c r="D319" s="175">
        <f>D320</f>
        <v>525.5</v>
      </c>
      <c r="E319" s="175">
        <f t="shared" si="158"/>
        <v>520.2</v>
      </c>
    </row>
    <row r="320" spans="1:5" ht="31.5">
      <c r="A320" s="249" t="s">
        <v>428</v>
      </c>
      <c r="B320" s="249" t="s">
        <v>60</v>
      </c>
      <c r="C320" s="54" t="s">
        <v>574</v>
      </c>
      <c r="D320" s="175">
        <f>'№6'!F319</f>
        <v>525.5</v>
      </c>
      <c r="E320" s="175">
        <f>'№6'!G319</f>
        <v>520.2</v>
      </c>
    </row>
    <row r="321" spans="1:5" ht="12.75">
      <c r="A321" s="170" t="s">
        <v>261</v>
      </c>
      <c r="B321" s="170" t="s">
        <v>93</v>
      </c>
      <c r="C321" s="187" t="s">
        <v>129</v>
      </c>
      <c r="D321" s="172">
        <f>D322</f>
        <v>26.3</v>
      </c>
      <c r="E321" s="172">
        <f aca="true" t="shared" si="159" ref="E321:E322">E322</f>
        <v>26.3</v>
      </c>
    </row>
    <row r="322" spans="1:5" ht="47.25">
      <c r="A322" s="249" t="s">
        <v>262</v>
      </c>
      <c r="B322" s="173" t="s">
        <v>93</v>
      </c>
      <c r="C322" s="174" t="s">
        <v>130</v>
      </c>
      <c r="D322" s="175">
        <f>D323</f>
        <v>26.3</v>
      </c>
      <c r="E322" s="175">
        <f t="shared" si="159"/>
        <v>26.3</v>
      </c>
    </row>
    <row r="323" spans="1:5" ht="31.5">
      <c r="A323" s="249" t="s">
        <v>262</v>
      </c>
      <c r="B323" s="249" t="s">
        <v>60</v>
      </c>
      <c r="C323" s="54" t="s">
        <v>574</v>
      </c>
      <c r="D323" s="175">
        <f>'№6'!F312</f>
        <v>26.3</v>
      </c>
      <c r="E323" s="175">
        <f>'№6'!G312</f>
        <v>26.3</v>
      </c>
    </row>
    <row r="324" spans="1:5" ht="12.75">
      <c r="A324" s="170" t="s">
        <v>256</v>
      </c>
      <c r="B324" s="170" t="s">
        <v>93</v>
      </c>
      <c r="C324" s="187" t="s">
        <v>2</v>
      </c>
      <c r="D324" s="172">
        <f>D325</f>
        <v>9521.5</v>
      </c>
      <c r="E324" s="172">
        <f aca="true" t="shared" si="160" ref="E324:E325">E325</f>
        <v>9521.1</v>
      </c>
    </row>
    <row r="325" spans="1:5" ht="63">
      <c r="A325" s="249" t="s">
        <v>257</v>
      </c>
      <c r="B325" s="173" t="s">
        <v>93</v>
      </c>
      <c r="C325" s="174" t="s">
        <v>330</v>
      </c>
      <c r="D325" s="175">
        <f>D326</f>
        <v>9521.5</v>
      </c>
      <c r="E325" s="175">
        <f t="shared" si="160"/>
        <v>9521.1</v>
      </c>
    </row>
    <row r="326" spans="1:5" ht="31.5">
      <c r="A326" s="249" t="s">
        <v>257</v>
      </c>
      <c r="B326" s="249" t="s">
        <v>60</v>
      </c>
      <c r="C326" s="54" t="s">
        <v>574</v>
      </c>
      <c r="D326" s="175">
        <f>'№6'!F295</f>
        <v>9521.5</v>
      </c>
      <c r="E326" s="175">
        <f>'№6'!G295</f>
        <v>9521.1</v>
      </c>
    </row>
    <row r="327" spans="1:5" ht="12.75">
      <c r="A327" s="170" t="s">
        <v>308</v>
      </c>
      <c r="B327" s="170" t="s">
        <v>93</v>
      </c>
      <c r="C327" s="187" t="s">
        <v>413</v>
      </c>
      <c r="D327" s="172">
        <f>D328+D332+D344+D339</f>
        <v>7919.7</v>
      </c>
      <c r="E327" s="172">
        <f>E328+E332+E344+E339</f>
        <v>6474.2</v>
      </c>
    </row>
    <row r="328" spans="1:5" ht="12.75">
      <c r="A328" s="170" t="s">
        <v>414</v>
      </c>
      <c r="B328" s="170" t="s">
        <v>93</v>
      </c>
      <c r="C328" s="187" t="s">
        <v>13</v>
      </c>
      <c r="D328" s="172">
        <f>D329</f>
        <v>2000</v>
      </c>
      <c r="E328" s="172">
        <f aca="true" t="shared" si="161" ref="E328">E329</f>
        <v>598.1999999999999</v>
      </c>
    </row>
    <row r="329" spans="1:5" ht="31.5">
      <c r="A329" s="249" t="s">
        <v>258</v>
      </c>
      <c r="B329" s="173" t="s">
        <v>93</v>
      </c>
      <c r="C329" s="174" t="s">
        <v>131</v>
      </c>
      <c r="D329" s="175">
        <f>D330+D331</f>
        <v>2000</v>
      </c>
      <c r="E329" s="175">
        <f>E330+E331</f>
        <v>598.1999999999999</v>
      </c>
    </row>
    <row r="330" spans="1:5" ht="31.5">
      <c r="A330" s="249" t="s">
        <v>258</v>
      </c>
      <c r="B330" s="249" t="s">
        <v>60</v>
      </c>
      <c r="C330" s="54" t="s">
        <v>574</v>
      </c>
      <c r="D330" s="175">
        <f>'№6'!F301</f>
        <v>1401.2</v>
      </c>
      <c r="E330" s="175">
        <f>'№6'!G301</f>
        <v>0</v>
      </c>
    </row>
    <row r="331" spans="1:5" ht="12.75">
      <c r="A331" s="249" t="s">
        <v>258</v>
      </c>
      <c r="B331" s="249" t="s">
        <v>25</v>
      </c>
      <c r="C331" s="174" t="s">
        <v>112</v>
      </c>
      <c r="D331" s="175">
        <f>'№6'!F90+'№6'!F184</f>
        <v>598.8</v>
      </c>
      <c r="E331" s="175">
        <f>'№6'!G90+'№6'!G184</f>
        <v>598.1999999999999</v>
      </c>
    </row>
    <row r="332" spans="1:5" ht="31.5">
      <c r="A332" s="170" t="s">
        <v>420</v>
      </c>
      <c r="B332" s="170" t="s">
        <v>93</v>
      </c>
      <c r="C332" s="187" t="s">
        <v>421</v>
      </c>
      <c r="D332" s="172">
        <f>D337+D333+D335</f>
        <v>910.1</v>
      </c>
      <c r="E332" s="172">
        <f aca="true" t="shared" si="162" ref="E332">E337+E333+E335</f>
        <v>910.1</v>
      </c>
    </row>
    <row r="333" spans="1:5" ht="12.75">
      <c r="A333" s="63" t="s">
        <v>488</v>
      </c>
      <c r="B333" s="248"/>
      <c r="C333" s="48" t="s">
        <v>489</v>
      </c>
      <c r="D333" s="175">
        <f>D334</f>
        <v>130.1</v>
      </c>
      <c r="E333" s="175">
        <f aca="true" t="shared" si="163" ref="E333">E334</f>
        <v>130.1</v>
      </c>
    </row>
    <row r="334" spans="1:5" ht="12.75">
      <c r="A334" s="63" t="s">
        <v>488</v>
      </c>
      <c r="B334" s="249" t="s">
        <v>25</v>
      </c>
      <c r="C334" s="174" t="s">
        <v>112</v>
      </c>
      <c r="D334" s="175">
        <f>'№6'!F70</f>
        <v>130.1</v>
      </c>
      <c r="E334" s="175">
        <f>'№6'!G70</f>
        <v>130.1</v>
      </c>
    </row>
    <row r="335" spans="1:5" ht="31.5">
      <c r="A335" s="53" t="s">
        <v>541</v>
      </c>
      <c r="B335" s="53"/>
      <c r="C335" s="54" t="s">
        <v>542</v>
      </c>
      <c r="D335" s="175">
        <f>D336</f>
        <v>280</v>
      </c>
      <c r="E335" s="175">
        <f aca="true" t="shared" si="164" ref="E335">E336</f>
        <v>280</v>
      </c>
    </row>
    <row r="336" spans="1:5" ht="12.75">
      <c r="A336" s="53" t="s">
        <v>541</v>
      </c>
      <c r="B336" s="249" t="s">
        <v>25</v>
      </c>
      <c r="C336" s="174" t="s">
        <v>112</v>
      </c>
      <c r="D336" s="175">
        <f>'№6'!F31</f>
        <v>280</v>
      </c>
      <c r="E336" s="175">
        <f>'№6'!G31</f>
        <v>280</v>
      </c>
    </row>
    <row r="337" spans="1:5" ht="31.5">
      <c r="A337" s="249" t="s">
        <v>422</v>
      </c>
      <c r="B337" s="173" t="s">
        <v>93</v>
      </c>
      <c r="C337" s="174" t="s">
        <v>423</v>
      </c>
      <c r="D337" s="175">
        <f>D338</f>
        <v>500</v>
      </c>
      <c r="E337" s="175">
        <f aca="true" t="shared" si="165" ref="E337">E338</f>
        <v>500</v>
      </c>
    </row>
    <row r="338" spans="1:5" ht="12.75">
      <c r="A338" s="249" t="s">
        <v>422</v>
      </c>
      <c r="B338" s="249" t="s">
        <v>25</v>
      </c>
      <c r="C338" s="174" t="s">
        <v>112</v>
      </c>
      <c r="D338" s="175">
        <f>'№6'!F188</f>
        <v>500</v>
      </c>
      <c r="E338" s="175">
        <f>'№6'!G188</f>
        <v>500</v>
      </c>
    </row>
    <row r="339" spans="1:5" ht="31.5">
      <c r="A339" s="188" t="s">
        <v>605</v>
      </c>
      <c r="B339" s="62"/>
      <c r="C339" s="189" t="s">
        <v>602</v>
      </c>
      <c r="D339" s="172">
        <f>D340</f>
        <v>950</v>
      </c>
      <c r="E339" s="172">
        <f aca="true" t="shared" si="166" ref="E339">E340</f>
        <v>950</v>
      </c>
    </row>
    <row r="340" spans="1:5" ht="47.25">
      <c r="A340" s="63" t="s">
        <v>603</v>
      </c>
      <c r="B340" s="15"/>
      <c r="C340" s="48" t="s">
        <v>604</v>
      </c>
      <c r="D340" s="175">
        <f>D341+D342+D343</f>
        <v>950</v>
      </c>
      <c r="E340" s="175">
        <f aca="true" t="shared" si="167" ref="E340">E341+E342+E343</f>
        <v>950</v>
      </c>
    </row>
    <row r="341" spans="1:5" ht="12.75">
      <c r="A341" s="63" t="s">
        <v>603</v>
      </c>
      <c r="B341" s="249" t="s">
        <v>25</v>
      </c>
      <c r="C341" s="174" t="s">
        <v>112</v>
      </c>
      <c r="D341" s="175">
        <f>'№6'!F250</f>
        <v>569.6</v>
      </c>
      <c r="E341" s="175">
        <f>'№6'!G250</f>
        <v>569.6</v>
      </c>
    </row>
    <row r="342" spans="1:5" ht="31.5">
      <c r="A342" s="63" t="s">
        <v>603</v>
      </c>
      <c r="B342" s="62" t="s">
        <v>7</v>
      </c>
      <c r="C342" s="48" t="s">
        <v>11</v>
      </c>
      <c r="D342" s="175">
        <f>'№6'!F398</f>
        <v>50</v>
      </c>
      <c r="E342" s="175">
        <f>'№6'!G398</f>
        <v>50</v>
      </c>
    </row>
    <row r="343" spans="1:5" ht="31.5">
      <c r="A343" s="63" t="s">
        <v>603</v>
      </c>
      <c r="B343" s="62" t="s">
        <v>14</v>
      </c>
      <c r="C343" s="68" t="s">
        <v>504</v>
      </c>
      <c r="D343" s="175">
        <f>'№6'!F479+'№6'!F512+'№6'!F532</f>
        <v>330.4</v>
      </c>
      <c r="E343" s="175">
        <f>'№6'!G479+'№6'!G512+'№6'!G532</f>
        <v>330.4</v>
      </c>
    </row>
    <row r="344" spans="1:5" ht="47.25">
      <c r="A344" s="170" t="s">
        <v>444</v>
      </c>
      <c r="B344" s="170" t="s">
        <v>93</v>
      </c>
      <c r="C344" s="187" t="s">
        <v>5</v>
      </c>
      <c r="D344" s="172">
        <f>D345+D347</f>
        <v>4059.6</v>
      </c>
      <c r="E344" s="172">
        <f>E345+E347</f>
        <v>4015.9</v>
      </c>
    </row>
    <row r="345" spans="1:5" ht="12.75">
      <c r="A345" s="249" t="s">
        <v>272</v>
      </c>
      <c r="B345" s="173" t="s">
        <v>93</v>
      </c>
      <c r="C345" s="174" t="s">
        <v>445</v>
      </c>
      <c r="D345" s="175">
        <f>D346</f>
        <v>1292.5</v>
      </c>
      <c r="E345" s="175">
        <f aca="true" t="shared" si="168" ref="E345">E346</f>
        <v>1292.5</v>
      </c>
    </row>
    <row r="346" spans="1:5" ht="12.75">
      <c r="A346" s="249" t="s">
        <v>272</v>
      </c>
      <c r="B346" s="249" t="s">
        <v>19</v>
      </c>
      <c r="C346" s="174" t="s">
        <v>4</v>
      </c>
      <c r="D346" s="175">
        <f>'№6'!F363</f>
        <v>1292.5</v>
      </c>
      <c r="E346" s="175">
        <f>'№6'!G363</f>
        <v>1292.5</v>
      </c>
    </row>
    <row r="347" spans="1:5" ht="37.5" customHeight="1">
      <c r="A347" s="249" t="s">
        <v>273</v>
      </c>
      <c r="B347" s="173" t="s">
        <v>93</v>
      </c>
      <c r="C347" s="174" t="s">
        <v>446</v>
      </c>
      <c r="D347" s="175">
        <f>D348</f>
        <v>2767.1</v>
      </c>
      <c r="E347" s="175">
        <f aca="true" t="shared" si="169" ref="E347">E348</f>
        <v>2723.4</v>
      </c>
    </row>
    <row r="348" spans="1:5" ht="12.75">
      <c r="A348" s="249" t="s">
        <v>273</v>
      </c>
      <c r="B348" s="249" t="s">
        <v>19</v>
      </c>
      <c r="C348" s="174" t="s">
        <v>4</v>
      </c>
      <c r="D348" s="175">
        <f>'№6'!F364</f>
        <v>2767.1</v>
      </c>
      <c r="E348" s="175">
        <f>'№6'!G364</f>
        <v>2723.4</v>
      </c>
    </row>
  </sheetData>
  <mergeCells count="7">
    <mergeCell ref="A1:E1"/>
    <mergeCell ref="A2:E2"/>
    <mergeCell ref="A3:A5"/>
    <mergeCell ref="B3:B5"/>
    <mergeCell ref="C3:C5"/>
    <mergeCell ref="D3:D5"/>
    <mergeCell ref="E3:E5"/>
  </mergeCells>
  <printOptions/>
  <pageMargins left="0.5905511811023623" right="0.1968503937007874" top="0.1968503937007874" bottom="0.1968503937007874" header="0.31496062992125984" footer="0.31496062992125984"/>
  <pageSetup fitToHeight="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ОФ и ЭА Администрация города Торжка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Маслобойщикова</dc:creator>
  <cp:keywords/>
  <dc:description/>
  <cp:lastModifiedBy>Vershinskaya</cp:lastModifiedBy>
  <cp:lastPrinted>2018-06-04T06:52:20Z</cp:lastPrinted>
  <dcterms:created xsi:type="dcterms:W3CDTF">2007-11-30T05:39:28Z</dcterms:created>
  <dcterms:modified xsi:type="dcterms:W3CDTF">2018-06-04T06:56:24Z</dcterms:modified>
  <cp:category/>
  <cp:version/>
  <cp:contentType/>
  <cp:contentStatus/>
</cp:coreProperties>
</file>