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ЭтаКнига" defaultThemeVersion="124226"/>
  <bookViews>
    <workbookView xWindow="12015" yWindow="90" windowWidth="10770" windowHeight="10890" firstSheet="2" activeTab="7"/>
  </bookViews>
  <sheets>
    <sheet name="№1" sheetId="157" r:id="rId1"/>
    <sheet name="№2 " sheetId="161" r:id="rId2"/>
    <sheet name="№ 3" sheetId="143" r:id="rId3"/>
    <sheet name="№4 " sheetId="154" r:id="rId4"/>
    <sheet name="№5 " sheetId="155" r:id="rId5"/>
    <sheet name="№6" sheetId="147" r:id="rId6"/>
    <sheet name="№7" sheetId="156" r:id="rId7"/>
    <sheet name="№8" sheetId="160" r:id="rId8"/>
  </sheets>
  <definedNames>
    <definedName name="_xlnm.Print_Area" localSheetId="2">'№ 3'!$A$1:$E$48</definedName>
    <definedName name="_xlnm.Print_Area" localSheetId="1">'№2 '!$A$1:$E$135</definedName>
    <definedName name="_xlnm.Print_Area" localSheetId="3">'№4 '!$A$1:$H$867</definedName>
    <definedName name="_xlnm.Print_Area" localSheetId="6">'№7'!$A$1:$P$27</definedName>
    <definedName name="_xlnm.Print_Titles" localSheetId="1">'№2 '!$7:$8</definedName>
  </definedNames>
  <calcPr calcId="124519"/>
</workbook>
</file>

<file path=xl/sharedStrings.xml><?xml version="1.0" encoding="utf-8"?>
<sst xmlns="http://schemas.openxmlformats.org/spreadsheetml/2006/main" count="6277" uniqueCount="727">
  <si>
    <t>Другие вопросы в области физической культуры и спорта</t>
  </si>
  <si>
    <t>Всего: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</si>
  <si>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</si>
  <si>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Торжокская городская Дума</t>
  </si>
  <si>
    <t>Комитет по управлению имуществом муниципального образования город Торжок Тверской области</t>
  </si>
  <si>
    <t>1</t>
  </si>
  <si>
    <t>008</t>
  </si>
  <si>
    <t>0501</t>
  </si>
  <si>
    <t>Жилищное хозяйство</t>
  </si>
  <si>
    <t>0409</t>
  </si>
  <si>
    <t>Комитет по физкультуре, спорту и молодежной политике администрации муниципального образования город Торжок</t>
  </si>
  <si>
    <t>Обеспечение деятельности финансовых, налоговых и таможенных органов и органов финансового (финансово-бюджетного) надзора</t>
  </si>
  <si>
    <t>Резервные фонды</t>
  </si>
  <si>
    <t>011</t>
  </si>
  <si>
    <t>Дошкольное образование</t>
  </si>
  <si>
    <t>Общее образование</t>
  </si>
  <si>
    <t>Другие вопросы в области образования</t>
  </si>
  <si>
    <t>Культура</t>
  </si>
  <si>
    <t>006</t>
  </si>
  <si>
    <t>Защита населения и территории от  чрезвычайных ситуаций природного и техногенного характера, гражданская оборона</t>
  </si>
  <si>
    <t>ППП</t>
  </si>
  <si>
    <t>КЦСР</t>
  </si>
  <si>
    <t>КВР</t>
  </si>
  <si>
    <t>Наименование</t>
  </si>
  <si>
    <t>001</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</si>
  <si>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</si>
  <si>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</si>
  <si>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</si>
  <si>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</si>
  <si>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</si>
  <si>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</si>
  <si>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</si>
  <si>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</si>
  <si>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Благоустройство</t>
  </si>
  <si>
    <t>Образование</t>
  </si>
  <si>
    <t>Физическая культура и спорт</t>
  </si>
  <si>
    <t>Социальная политика</t>
  </si>
  <si>
    <t>Пенсионное обеспечение</t>
  </si>
  <si>
    <t>005</t>
  </si>
  <si>
    <t>Социальное обеспечение населения</t>
  </si>
  <si>
    <t>002</t>
  </si>
  <si>
    <t>РП</t>
  </si>
  <si>
    <t>0700</t>
  </si>
  <si>
    <t>0707</t>
  </si>
  <si>
    <t>1000</t>
  </si>
  <si>
    <t>1003</t>
  </si>
  <si>
    <t>0800</t>
  </si>
  <si>
    <t>0801</t>
  </si>
  <si>
    <t>0102</t>
  </si>
  <si>
    <t>0103</t>
  </si>
  <si>
    <t>0104</t>
  </si>
  <si>
    <t>0106</t>
  </si>
  <si>
    <t>0111</t>
  </si>
  <si>
    <t>0309</t>
  </si>
  <si>
    <t>0412</t>
  </si>
  <si>
    <t>0503</t>
  </si>
  <si>
    <t>0701</t>
  </si>
  <si>
    <t>0702</t>
  </si>
  <si>
    <t>0709</t>
  </si>
  <si>
    <t>1001</t>
  </si>
  <si>
    <t>0100</t>
  </si>
  <si>
    <t>0300</t>
  </si>
  <si>
    <t>0400</t>
  </si>
  <si>
    <t>0500</t>
  </si>
  <si>
    <t>ВСЕГО</t>
  </si>
  <si>
    <t>Функционирование высшего должностного лица субъекта Российской Федерации и муниципального образования</t>
  </si>
  <si>
    <t>0113</t>
  </si>
  <si>
    <t>1100</t>
  </si>
  <si>
    <t>Массовый спорт</t>
  </si>
  <si>
    <t>Средства массовой информации</t>
  </si>
  <si>
    <t>1204</t>
  </si>
  <si>
    <t>Другие вопросы в области средств массовой информации</t>
  </si>
  <si>
    <t/>
  </si>
  <si>
    <t>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</si>
  <si>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100</t>
  </si>
  <si>
    <t>200</t>
  </si>
  <si>
    <t>800</t>
  </si>
  <si>
    <t>Иные бюджетные ассигнования</t>
  </si>
  <si>
    <t>400</t>
  </si>
  <si>
    <t>300</t>
  </si>
  <si>
    <t>Социальное обеспечение и иные выплаты населению</t>
  </si>
  <si>
    <t>0304</t>
  </si>
  <si>
    <t>Органы юстиции</t>
  </si>
  <si>
    <t>2</t>
  </si>
  <si>
    <t>3</t>
  </si>
  <si>
    <t>4</t>
  </si>
  <si>
    <t>5</t>
  </si>
  <si>
    <t>6</t>
  </si>
  <si>
    <t xml:space="preserve">Культура,  кинематография </t>
  </si>
  <si>
    <t>администрация муниципального образования город Торжок</t>
  </si>
  <si>
    <t>Предоставление субсидий бюджетным, автономным учреждениям и иным некоммерческим организациям</t>
  </si>
  <si>
    <t>1004</t>
  </si>
  <si>
    <t>Охрана семьи и детства</t>
  </si>
  <si>
    <t>1102</t>
  </si>
  <si>
    <t>1105</t>
  </si>
  <si>
    <t>0405</t>
  </si>
  <si>
    <t>Сельское хозяйство и рыболовство</t>
  </si>
  <si>
    <t>Сумма, тыс. руб.</t>
  </si>
  <si>
    <t>2018 год</t>
  </si>
  <si>
    <t>2019 год</t>
  </si>
  <si>
    <t>плановый период</t>
  </si>
  <si>
    <t>Дорожное хозяйство (дорожные фонды)</t>
  </si>
  <si>
    <t>0703</t>
  </si>
  <si>
    <t>Дополнительное образование детей</t>
  </si>
  <si>
    <t>1200</t>
  </si>
  <si>
    <t>1300</t>
  </si>
  <si>
    <t>1301</t>
  </si>
  <si>
    <t>Обслуживание государственного внутреннего и муниципального долга</t>
  </si>
  <si>
    <t>7</t>
  </si>
  <si>
    <t>8</t>
  </si>
  <si>
    <t>Закупка товаров, работ и услуг для обеспечения  государственных (муниципальных ) нужд</t>
  </si>
  <si>
    <t>Капитальные  вложения в объекты недвижимого имущества государственной (муниципальной) собственности</t>
  </si>
  <si>
    <t>600</t>
  </si>
  <si>
    <t>Предоставление субсидий  бюджетным, автономным учреждениям и иным некоммерческим организациям</t>
  </si>
  <si>
    <t>Обслуживание муниципального долга</t>
  </si>
  <si>
    <t>700</t>
  </si>
  <si>
    <t>Обслуживание государственного (муниципального ) долга</t>
  </si>
  <si>
    <t>Обслуживание государственного и муниципального долга</t>
  </si>
  <si>
    <t xml:space="preserve">Молодежная политика </t>
  </si>
  <si>
    <t>2020 год</t>
  </si>
  <si>
    <t>Распределение бюджетных ассигнований  бюджета   
муниципального образования город Торжок  по разделам и подразделам классификации  
расходов бюджетов на 2018 год и на плановый период 2019 и 2020 годов</t>
  </si>
  <si>
    <t>Ведомственная структура расходов бюджета муниципального образования  город Торжок  
на 2018 год и на плановый период 2019 и 2020 годов</t>
  </si>
  <si>
    <t>0401</t>
  </si>
  <si>
    <t>Общеэкономические вопросы</t>
  </si>
  <si>
    <t xml:space="preserve"> Расходы на выплаты персоналу государственных
(муниципальных) органов
</t>
  </si>
  <si>
    <t xml:space="preserve">Иные закупки товаров, работ и услуг для обеспечения
государственных (муниципальных) нужд
</t>
  </si>
  <si>
    <t xml:space="preserve">Уплата налогов, сборов и иных платежей </t>
  </si>
  <si>
    <t>320</t>
  </si>
  <si>
    <t>Социальные выплаты гражданам, кроме публичных нормативных социальных выплат</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</si>
  <si>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</si>
  <si>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Субсидии бюджетным учреждениям</t>
  </si>
  <si>
    <t>Расходы, не включенные в муниципальные программы</t>
  </si>
  <si>
    <t>Оценка недвижимости, признание прав и регулирование отношений по муниципальной собственности</t>
  </si>
  <si>
    <t>Подпрограмма "Обеспечение эффективного управления имуществом города и вовлечение его в хозяйственный оборот"</t>
  </si>
  <si>
    <t>Мероприятие "Управление муниципальным имуществом"</t>
  </si>
  <si>
    <t xml:space="preserve">Содержание имущества казны муниципального образования </t>
  </si>
  <si>
    <t>9900000000</t>
  </si>
  <si>
    <t xml:space="preserve">Формирование земельных участков, находящихся в ведении муниципального образования </t>
  </si>
  <si>
    <t>Мероприятие "Формирование муниципального жилищного фонда"</t>
  </si>
  <si>
    <t>Взносы на капитальный ремонт общего домового имущества многоквартирных домов в части доли имущества, находящегося в муниципальной собственности</t>
  </si>
  <si>
    <t>Муниципальная программа муниципального образования город Торжок "Экономическое развитие и инвестиционная привлекательность города Торжка" на 2018  - 2023 годы</t>
  </si>
  <si>
    <t>16202R0820</t>
  </si>
  <si>
    <t>Подпрограмма  "Создание условий для воспитания гармоничного развития личности"</t>
  </si>
  <si>
    <t>Мероприятие  "Поддержка деятельности городских трудовых объединений молодежи по организации временной занятости обучающихся в свободное от учебы время"</t>
  </si>
  <si>
    <t>Организация временной занятости несовершеннолетних в свободное от учебы время</t>
  </si>
  <si>
    <t>Обеспечение деятельности исполнительно-распорядительного органа местного самоуправления</t>
  </si>
  <si>
    <t>Обеспечение деятельности исполнительно-распорядительных органов местного самоуправления за исключением переданных государственных полномочий</t>
  </si>
  <si>
    <t>410</t>
  </si>
  <si>
    <t>Бюджетные инвестиции</t>
  </si>
  <si>
    <t>Подпрограмма "Дополнительное образование "</t>
  </si>
  <si>
    <t>Мероприятие "Оказание муниципальных услуг, выполнение работ муниципальными организациями, реализующими программы дополнительного образования"</t>
  </si>
  <si>
    <t>Оказание муниципальными учреждениями муниципальных услуг, выполнение работ</t>
  </si>
  <si>
    <t>Подпрограмма "Санитарно-эпизоотическое благополучие населения"</t>
  </si>
  <si>
    <t>Подпрограмма "Дорожное хозяйство "</t>
  </si>
  <si>
    <t>Содержание автомобильных дорог общего пользования местного значения и искусственных сооружений на них</t>
  </si>
  <si>
    <t>Проектирование, капитальный ремонт и ремонт объектов</t>
  </si>
  <si>
    <t>Подпрограмма "Обеспечение безопасности дорожного движения"</t>
  </si>
  <si>
    <t>Разметка объектов дорожного хозяйства</t>
  </si>
  <si>
    <t>Мероприятие "Повышение уровня благоустройства дворовых территорий города"</t>
  </si>
  <si>
    <t>13101L5550</t>
  </si>
  <si>
    <t>Мероприятие  "Повышение уровня благоустройства наиболее посещаемых муниципальных территорий общего пользования города"</t>
  </si>
  <si>
    <t>13102L5550</t>
  </si>
  <si>
    <t>13201S0430</t>
  </si>
  <si>
    <t>Мероприятие  "Содержание объектов благоустройства"</t>
  </si>
  <si>
    <t>Уличное освещение в границах города</t>
  </si>
  <si>
    <t>Развитие и содержание сетей уличного освещения</t>
  </si>
  <si>
    <t>Озеленение территорий</t>
  </si>
  <si>
    <t>Содержание мест захоронения</t>
  </si>
  <si>
    <t>Восстановление воинских захоронений на условиях софинансирования</t>
  </si>
  <si>
    <t>13202S0280</t>
  </si>
  <si>
    <t>Ликвидация несанкционированных свалок</t>
  </si>
  <si>
    <t>Подпрограмма  "Формирование благоприятной социальной среды и развитие международных, межмуниципальных связей"</t>
  </si>
  <si>
    <t>Мероприятие  "Развитие международных и межмуниципальных связей"</t>
  </si>
  <si>
    <t xml:space="preserve">1240600000  </t>
  </si>
  <si>
    <t>Мероприятия по вовлечению молодежи в добровольческую деятельность</t>
  </si>
  <si>
    <t xml:space="preserve">1240620420  </t>
  </si>
  <si>
    <t>Проведение конкурсов, фестивалей, выставок для обучающейся молодежи</t>
  </si>
  <si>
    <t xml:space="preserve">1240620430  </t>
  </si>
  <si>
    <t>Именные стипендии Главы города</t>
  </si>
  <si>
    <t>340</t>
  </si>
  <si>
    <t>Стипендии</t>
  </si>
  <si>
    <t>Мероприятие  "Проведение общегородских мероприятий в области молодежной политики"</t>
  </si>
  <si>
    <t>Проведение мероприятий по профилактике безнадзорности и правонарушений несовершеннолетних</t>
  </si>
  <si>
    <t xml:space="preserve">12103L5191  </t>
  </si>
  <si>
    <t xml:space="preserve">Подпрограмма "Создание условий для организации досуга и обеспечения жителей города услугами организаций культуры" </t>
  </si>
  <si>
    <t>Проведение независимой оценки качества оказания услуг муниципальными учреждениями</t>
  </si>
  <si>
    <t>Проведение общегородских мероприятий</t>
  </si>
  <si>
    <t>310</t>
  </si>
  <si>
    <t>Публичные нормативные социальные выплаты гражданам</t>
  </si>
  <si>
    <t>Оказание адресной материальной помощи отдельным категориям граждан</t>
  </si>
  <si>
    <t>Субсидии социально ориентированным некоммерческим организациям в реализации ими целевых социальных проектов</t>
  </si>
  <si>
    <t>Субсидии некоммерческим организациям (за исключением государственных (муниципальных) учреждений)</t>
  </si>
  <si>
    <t>Мероприятие "Поощрение жителей города, добившихся значительных успехов в различных сферах деятельности"</t>
  </si>
  <si>
    <t>Поддержка средств массовой информации  города учредителем (соучредителем) которого является администрация города Торжка</t>
  </si>
  <si>
    <t xml:space="preserve">Поддержка средств массовой информации  города в отношении которых муниципальное образование город Торжок не является учредителем (соучредителем) </t>
  </si>
  <si>
    <t>Поддержка средств массовой информации  города учредителем (соучредителем) которого является администрация города Торжка на условиях софинансирования</t>
  </si>
  <si>
    <t xml:space="preserve">12403S0320  </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</si>
  <si>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</si>
  <si>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</si>
  <si>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Обеспечение деятельности органов местного самоуправления и учреждений, обеспечивающих их деятельность</t>
  </si>
  <si>
    <t>Глава муниципального образования</t>
  </si>
  <si>
    <t>Обеспечение деятельности исполнительно-распорядительного органа местного самоуправления на исполнение переданных государственных полномочий</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</si>
  <si>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</si>
  <si>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Проведение конкурсов "Лучший по профессии" и "Новотор года"</t>
  </si>
  <si>
    <t>Премии и гранты</t>
  </si>
  <si>
    <t>Организационное обеспечение проведения мероприятий с участием Главы города"</t>
  </si>
  <si>
    <t>Подпрограмма "Обеспечение безопасности территории города"</t>
  </si>
  <si>
    <t>Иные выплаты населению</t>
  </si>
  <si>
    <t>360</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</si>
  <si>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</si>
  <si>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0105</t>
  </si>
  <si>
    <t>Судебная система</t>
  </si>
  <si>
    <t>Мероприятия, не включенные в муниципальные программы муниципального образования город Торжок</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</si>
  <si>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</si>
  <si>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Обеспечение деятельности учреждений, обеспечивающих деятельность органов местного самоуправления</t>
  </si>
  <si>
    <t>Расходы на выплаты персоналу казенных учреждений</t>
  </si>
  <si>
    <t>Осуществление государственных полномочий на государственную регистрацию актов гражданского состояния</t>
  </si>
  <si>
    <t>Резервный фонд администрации муниципального образования город Торжок</t>
  </si>
  <si>
    <t>870</t>
  </si>
  <si>
    <t>Резервные средства</t>
  </si>
  <si>
    <t>730</t>
  </si>
  <si>
    <t>Обеспечение деятельности  представительного органа местного самоуправления</t>
  </si>
  <si>
    <t>Председатель Торжокской городской Думы</t>
  </si>
  <si>
    <t>Обеспечение деятельности центрального аппарата Торжокской городской Думы</t>
  </si>
  <si>
    <t>Депутаты Торжокской городской Думы</t>
  </si>
  <si>
    <t>Подпрограмма "Общее образование "</t>
  </si>
  <si>
    <t>Мероприятие "Оказание муниципальных услуг, выполнение работ муниципальными образовательными организациями, реализующими основные общеобразовательные программы"</t>
  </si>
  <si>
    <t>1110120010</t>
  </si>
  <si>
    <t>1110110740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</si>
  <si>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</si>
  <si>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Мероприятие "Организация питания учащихся начальных классов общеобразовательных учреждений"</t>
  </si>
  <si>
    <t>Организация обеспечения учащихся начальных классов муниципальных общеобразовательных учреждений горячим питанием на условиях софинансирования</t>
  </si>
  <si>
    <t xml:space="preserve">11103S0230  </t>
  </si>
  <si>
    <t>Мероприятие "Проведение капитального ремонта объектов недвижимого имущества и (или) особо ценного движимого имущества муниципальными образовательными организациями, реализующими основные общеобразовательные программы"</t>
  </si>
  <si>
    <t xml:space="preserve">11105S0440  </t>
  </si>
  <si>
    <t>Подпрограмма " Обеспечение безопасности муниципальных учреждений"</t>
  </si>
  <si>
    <t>Мероприятие  "Организация отдыха детей в каникулярное время "</t>
  </si>
  <si>
    <t xml:space="preserve">Софинансирование расходных обязательств по организации отдыха детей в каникулярное время </t>
  </si>
  <si>
    <t xml:space="preserve">11104S0240  </t>
  </si>
  <si>
    <t>Мероприятие  "Реализация механизмов развития  кадрового потенциала  образовательных организаций"</t>
  </si>
  <si>
    <t>Укрепление и развитие кадрового потенциала в системе образования, стимулирование высокого качества работы</t>
  </si>
  <si>
    <t>Мероприятие "Обеспечение мер социальной защиты в образовательных организациях, реализующих основные общеобразовательные программы"</t>
  </si>
  <si>
    <t>Муниципальная программа муниципального образования город Торжок "Развитие социальной  инфраструктуры города Торжка" на 2018  - 2023 годы</t>
  </si>
  <si>
    <t>Муниципальная программа муниципального образования город Торжок "Безопасный город" на 2018  - 2023 годы</t>
  </si>
  <si>
    <t>Мероприятие "Оказание поддержки гражданам и их объединениям, участвующим в охране общественного порядка, создание условий для деятельности народных дружин"</t>
  </si>
  <si>
    <t xml:space="preserve">Поощрение народных дружин, участвующих в охране общественного порядка </t>
  </si>
  <si>
    <t>Мероприятие "Оказание муниципальных услуг, выполнение работ муниципальными учреждениями в сфере предупреждения и ликвидации последствий чрезвычайных ситуаций"</t>
  </si>
  <si>
    <t>Муниципальная программа муниципального образования город Торжок "Развитие образования  города Торжка" на 2018  - 2023 годы</t>
  </si>
  <si>
    <t>Муниципальная программа муниципального образования город Торжок "Формирование современной  городской среды" на 2018  - 2023 годы</t>
  </si>
  <si>
    <t>Мероприятие  "Организация проведения на территории города  мероприятий по отлову и содержанию безнадзорных животных"</t>
  </si>
  <si>
    <t>Муниципальная программа муниципального образования город Торжок "Развитие транспортной и коммунальной инфраструктуры" на 2018  - 2023 годы</t>
  </si>
  <si>
    <t>Мероприятие  "Содержание объектов дорожного хозяйства"</t>
  </si>
  <si>
    <t>Мероприятие  "Проектирование, капитальный ремонт и ремонт автомобильных дорог общего пользования местного значения и искусственных сооружений на них"</t>
  </si>
  <si>
    <t>Мероприятие "Содержание и ремонт технических средств организации дорожного движения"</t>
  </si>
  <si>
    <t>Мероприятие "Оказание муниципальных услуг, выполнение работ муниципальными учреждениями в целях содействия развитию предпринимательства и туризма"</t>
  </si>
  <si>
    <t>Подпрограмма "Организация благоустройства территории города"</t>
  </si>
  <si>
    <t>Мероприятие  "Реализация проектов в рамках программы поддержки местных инициатив в Тверской области"</t>
  </si>
  <si>
    <r>
      <t>Мероприятие</t>
    </r>
    <r>
      <rPr>
        <b/>
        <sz val="12"/>
        <rFont val="Times New Roman"/>
        <family val="1"/>
      </rPr>
      <t xml:space="preserve">  "</t>
    </r>
    <r>
      <rPr>
        <sz val="12"/>
        <rFont val="Times New Roman"/>
        <family val="1"/>
      </rPr>
      <t>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r>
  </si>
  <si>
    <t>Подпрограмма "Организация библиотечного обслуживания населения"</t>
  </si>
  <si>
    <t xml:space="preserve">Мероприятие "Оказание муниципальных услуг, выполнение работ муниципальными библиотеками" </t>
  </si>
  <si>
    <t>Мероприятие  "Приобретение основных средств, не относящихся к объектам недвижимости, муниципальными библиотеками"</t>
  </si>
  <si>
    <t>Мероприятие  "Оказание муниципальных услуг, выполнение работ муниципальными учреждениями культурно-досугового типа"</t>
  </si>
  <si>
    <t>Мероприятие  "Проведение независимой оценки качества оказания услуг муниципальными учреждениями культуры"</t>
  </si>
  <si>
    <t>Мероприятие  "Проведение общегородских мероприятий в области культуры"</t>
  </si>
  <si>
    <t>Мероприятие "Поддержка отдельных категорий граждан"</t>
  </si>
  <si>
    <t>Мероприятие "Поддержка социально ориентированных некоммерческих организаций"</t>
  </si>
  <si>
    <t>Социальная поддержка лиц, удостоенных звания "Почетный гражданин города Торжка"</t>
  </si>
  <si>
    <t>Мероприятие "Поддержка средств массовой информации  города"</t>
  </si>
  <si>
    <t>Подпрограмма "Массовая физкультурно-спортивная работа"</t>
  </si>
  <si>
    <t>Мероприятие "Оказание муниципальных услуг, выполнение работ муниципальными учреждениями  спортивной направленности"</t>
  </si>
  <si>
    <t>Мероприятие "Возмещение недополученных доходов в связи с выполнением работ, оказанием услуг для льготной категории потребителей муниципальными учреждениями спортивной направленности"</t>
  </si>
  <si>
    <t xml:space="preserve">Возмещение недополученных доходов  </t>
  </si>
  <si>
    <t>Мероприятие "Организация и проведение спортивно-массовых мероприятий и соревнований"</t>
  </si>
  <si>
    <t>Участие спортсменов города в спортивно массовых мероприятиях всероссийского и регионального уровней</t>
  </si>
  <si>
    <t>Создание условий для внедрения Всероссийского физкультурно-спортивного комплекса Готов к труду и обороне (ГТО)</t>
  </si>
  <si>
    <t xml:space="preserve">1240620320  </t>
  </si>
  <si>
    <t>0705</t>
  </si>
  <si>
    <t>Распределение бюджетных ассигнований бюджета муниципального образования город Торжок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2018 год и на плановый период 2019 и 2020 годов</t>
  </si>
  <si>
    <t xml:space="preserve">1240620440  </t>
  </si>
  <si>
    <t>Подпрограмма "Создание условий для эффективного функционирования исполнительных органов местного самоуправления"</t>
  </si>
  <si>
    <t xml:space="preserve">Информационно-справочное обеспечение  </t>
  </si>
  <si>
    <t>Мероприятие "Развитие кадрового потенциала исполнительных органов местного самоуправления"</t>
  </si>
  <si>
    <t>Мероприятие "Мониторинг социально-экономического развития муниципального образования"</t>
  </si>
  <si>
    <t>Повышение квалификации кадров</t>
  </si>
  <si>
    <t xml:space="preserve">Участие в работе общественных объединений и ассоциаций муниципальных образований </t>
  </si>
  <si>
    <t>Подпрограмма "Содействие развитию малого и среднего предпринимательства и туризма в городе"</t>
  </si>
  <si>
    <t>Подпрограмма "Развитие информационно-коммуникационной инфраструктуры органов местного самоуправления и муниципальных учреждений"</t>
  </si>
  <si>
    <t>Мероприятие "Обеспечение централизованного размещения городских информационных систем и ресурсов на базе муниципального казенного учреждения"</t>
  </si>
  <si>
    <t xml:space="preserve">Обеспечение программное прикладное для решения конкретных отраслевых задач, управления процессами организациии и услуги по его сопровождению </t>
  </si>
  <si>
    <t>Мероприятие "Обеспечение информационной безопасности  деятельности  органов местного самоуправления и муниципальных учреждений"</t>
  </si>
  <si>
    <t>Программные средства обеспечения информационной безопасности</t>
  </si>
  <si>
    <t>Мероприятие  "Приобретение основных средств, не относящихся к объектам недвижимости муниципальными организациями, реализующими программы дополнительного образования"</t>
  </si>
  <si>
    <t>Приобретение муниципальными учреждениями оборудования и других основных средств</t>
  </si>
  <si>
    <t>Мероприятие  "Реализация механизмов развития  потенциала обучающихся"</t>
  </si>
  <si>
    <t xml:space="preserve">11301S0660  </t>
  </si>
  <si>
    <t>Проведение олимпиад, конкурсов, фестивалей, выставок для обучающихся муниципальных образовательных учреждений</t>
  </si>
  <si>
    <t>Мероприятие "Приобретение основных средств, не относящихся к объектам недвижимости муниципальным учреждением, осуществляющим деятельность в сфере поддержки субъектов малого и среднего предпринимательства и развития туризма"</t>
  </si>
  <si>
    <t>Мероприятие "Проведение общегородских мероприятий в целях содействия развитию предпринимательства и туризма»</t>
  </si>
  <si>
    <t>Информационное, компьютерное и телекоммуникационное оборудование, системное программное обеспечение и офисные приложения</t>
  </si>
  <si>
    <t>Подпрограмма "Благоустройство дворовых и общественных территорий в целях реализации приоритетного проекта "Формирование комфортной городской среды"</t>
  </si>
  <si>
    <t>Мероприятие  "Организация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</si>
  <si>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r>
      <t xml:space="preserve">Распределение бюджетных ассигнований </t>
    </r>
    <r>
      <rPr>
        <b/>
        <sz val="12"/>
        <color rgb="FFFF0000"/>
        <rFont val="Times New Roman"/>
        <family val="1"/>
      </rPr>
      <t xml:space="preserve"> </t>
    </r>
    <r>
      <rPr>
        <b/>
        <sz val="12"/>
        <color rgb="FF000000"/>
        <rFont val="Times New Roman"/>
        <family val="1"/>
      </rPr>
      <t>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2018 год и на плановый период 2019 и 2020 годов</t>
    </r>
  </si>
  <si>
    <t xml:space="preserve">11106S0440  </t>
  </si>
  <si>
    <t>Мероприятие  "Приобретение основных средств, не относящихся к объектам недвижимости муниципальными образовательными организациями, реализующими основные общеобразовательные программы"</t>
  </si>
  <si>
    <t>0108</t>
  </si>
  <si>
    <t xml:space="preserve"> Международные отношения и международное сотрудничество</t>
  </si>
  <si>
    <t>Международные отношения и международное сотрудничество</t>
  </si>
  <si>
    <t xml:space="preserve">Предоставление платежей, взносов, безвозмездных
перечислений субъектам международного права
</t>
  </si>
  <si>
    <t>Управление финансов администрации муниципального образования город Торжок</t>
  </si>
  <si>
    <t>Управление образования администрации города Торжка Тверской области</t>
  </si>
  <si>
    <t>Организационное обеспечение проведения мероприятий с участием Главы города</t>
  </si>
  <si>
    <t>Мероприятие "Установка (расширение) единых функциональных систем: охранной, пожарной сигнализации, системы видеонаблюдения, контроля доступа и иных аналогичных систем, включая работы по модернизации указанных систем"</t>
  </si>
  <si>
    <t>Организация отдыха детей в каникулярное время за счет субсидии из областного бюджета</t>
  </si>
  <si>
    <t>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t>
  </si>
  <si>
    <t>12101S0680</t>
  </si>
  <si>
    <t xml:space="preserve">12201S0680   </t>
  </si>
  <si>
    <t>11201S0690</t>
  </si>
  <si>
    <t>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</si>
  <si>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на условиях софинансирования</t>
  </si>
  <si>
    <t>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</si>
  <si>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Укрепление материально-технической базы муниципальных общеобразовательных учреждений на условиях софинансирования</t>
  </si>
  <si>
    <t>Организация посещения обучающимися муниципальных общеобразовательных организаций  Тверского императорского дворца в рамках реализации проекта «Нас пригласили во дворец!» в части обеспечения подвоза обучающихся за счет субсидии из областного бюджета</t>
  </si>
  <si>
    <t>Организация посещения обучающимися муниципальных общеобразовательных организаций  Тверского императорского дворца в рамках реализации проекта «Нас пригласили во дворец!» в части обеспечения подвоза обучающихся на условиях софинансирования</t>
  </si>
  <si>
    <t>Расходы на повышение заработной платы работникам муниципальных учреждений культуры  Тверской области на условиях софинансирования</t>
  </si>
  <si>
    <t>Расходы на повышение заработной платы работникам муниципальных учреждений культуры Тверской области за счет субсидии из областного бюджета</t>
  </si>
  <si>
    <r>
      <t>Реализация программ по поддержке местных инициатив на условиях софинансирования</t>
    </r>
    <r>
      <rPr>
        <i/>
        <sz val="12"/>
        <rFont val="Times New Roman"/>
        <family val="1"/>
      </rPr>
      <t xml:space="preserve"> </t>
    </r>
  </si>
  <si>
    <t xml:space="preserve">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 </t>
  </si>
  <si>
    <t xml:space="preserve">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t>
  </si>
  <si>
    <t>Укрепление материально-технической базы муниципальных общеобразовательных учреждений за счет субсидии из областного бюджета</t>
  </si>
  <si>
    <t>Подпрограмма "Общее образование"</t>
  </si>
  <si>
    <t>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</si>
  <si>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Мероприятие "Устройство физкультурно-спортивных объектов"</t>
  </si>
  <si>
    <t xml:space="preserve">12305S0400  </t>
  </si>
  <si>
    <t>Приобретение и установка плоскостных спортивных сооружений и оборудования на плоскостные спортивные сооружения на условиях софинансирования</t>
  </si>
  <si>
    <t>Мероприятие  "Приобретение основных средств, не относящихся к объектам недвижимости муниципальными учреждениями культурно-досугового типа"</t>
  </si>
  <si>
    <t>12203L4670</t>
  </si>
  <si>
    <t>16202S0290</t>
  </si>
  <si>
    <t xml:space="preserve">Обеспечение жилыми помещениями  малоимущих многодетных семей, нуждающихся в жилых помещениях на условиях софинансирования </t>
  </si>
  <si>
    <t xml:space="preserve">1110520020  </t>
  </si>
  <si>
    <t>Проведение капитального ремонта муниципальными учреждениями</t>
  </si>
  <si>
    <t xml:space="preserve">11202L5195  </t>
  </si>
  <si>
    <t>Укрепление материально-технической базы и оснащение оборудованием детских школ искусств</t>
  </si>
  <si>
    <t>0502</t>
  </si>
  <si>
    <t>Коммунальное хозяйство</t>
  </si>
  <si>
    <t>Подпрограмма "Развитие коммунальной инфраструктуры"</t>
  </si>
  <si>
    <t>Мероприятие  "Реализация мероприятий по проектированию, строительству и реконструкции объектов газоснабжения"</t>
  </si>
  <si>
    <t>14303S0100</t>
  </si>
  <si>
    <t>Расходы на исполнение судебных актов по обращению взыскания на средства местного бюджета</t>
  </si>
  <si>
    <t>830</t>
  </si>
  <si>
    <t>Исполнение судебных актов</t>
  </si>
  <si>
    <t>Развитие системы газоснабжения города на условиях софинансирования</t>
  </si>
  <si>
    <r>
      <t xml:space="preserve">Реализация программы формирования современной городской среды </t>
    </r>
    <r>
      <rPr>
        <i/>
        <sz val="12"/>
        <rFont val="Times New Roman"/>
        <family val="1"/>
      </rPr>
      <t xml:space="preserve"> </t>
    </r>
  </si>
  <si>
    <t xml:space="preserve">Комплектование книжных фондов муниципальных библиотек </t>
  </si>
  <si>
    <t xml:space="preserve">Обеспечение развития и укрепления материально-технической базы  муниципальных домов культуры </t>
  </si>
  <si>
    <r>
      <t xml:space="preserve">Реализация программы формирования современной городской среды </t>
    </r>
  </si>
  <si>
    <t xml:space="preserve">Реализация программы формирования современной городской среды </t>
  </si>
  <si>
    <t>Реализация мероприятий по обеспечению жильем молодых семей</t>
  </si>
  <si>
    <t xml:space="preserve">12404L4970  </t>
  </si>
  <si>
    <t>Оплата услуг привлеченных экспертов  экспертных организаций при осуществлении мероприятий внутреннего муниципального финансового контроля</t>
  </si>
  <si>
    <t>Поддержка средств массовой информации  города учредителем (соучредителем) которого является администрация города Торжка за счет субсидии из областного бюджета</t>
  </si>
  <si>
    <t>Приобретение и установка плоскостных спортивных сооружений и оборудования на плоскостные спортивные сооружения за счет субсидии из областного бюджета</t>
  </si>
  <si>
    <t>Реализация программ по поддержке местных инициатив  за счет субсидии из областного бюджета</t>
  </si>
  <si>
    <t xml:space="preserve">Капитальный ремонт и ремонт улично-дорожной сети города Торжка на условиях софинансирования </t>
  </si>
  <si>
    <t>14102S1050</t>
  </si>
  <si>
    <t>Капитальный ремонт и ремонт улично-дорожной сети города Торжка за счет субсидии из областного бюджета</t>
  </si>
  <si>
    <t>1110110200</t>
  </si>
  <si>
    <t>Расходы на повышение оплаты труда работникам муниципальных учреждений в связи с увеличением минимального размера оплаты труда за счет субсидии из областного бюджета</t>
  </si>
  <si>
    <t>1120110200</t>
  </si>
  <si>
    <t>11101S0200</t>
  </si>
  <si>
    <t>11201S0200</t>
  </si>
  <si>
    <t>15101S0200</t>
  </si>
  <si>
    <t>Расходы на повышение оплаты труда работникам муниципальных учреждений в связи с увеличением минимального размера оплаты труда на условиях софинансирования</t>
  </si>
  <si>
    <t>12301S0200</t>
  </si>
  <si>
    <t>Реализация проектов по благоустройству</t>
  </si>
  <si>
    <t>Мероприятие  "Приобретение основных средств, не относящихся к объектам недвижимости органами местного самоуправления"</t>
  </si>
  <si>
    <t>Приобретение оборудования и других основных средств органами местного самоуправления</t>
  </si>
  <si>
    <t>1520120180</t>
  </si>
  <si>
    <t>Установка (расширение) единых функциональных систем в мунниципальных учреждениях</t>
  </si>
  <si>
    <t>Благоустройство земельных участков</t>
  </si>
  <si>
    <t>1520220190</t>
  </si>
  <si>
    <t>Мероприятие "Благоустройство земельных участков с целью обеспечение  безопасности зданий, сооружений, территорий муниципальных учреждений"</t>
  </si>
  <si>
    <r>
      <t xml:space="preserve">Мероприятие </t>
    </r>
    <r>
      <rPr>
        <b/>
        <sz val="12"/>
        <rFont val="Times New Roman"/>
        <family val="1"/>
      </rPr>
      <t>"</t>
    </r>
    <r>
      <rPr>
        <sz val="12"/>
        <rFont val="Times New Roman"/>
        <family val="1"/>
      </rPr>
      <t>Благоустройство земельных участков с целью обеспечение  безопасности зданий, сооружений, территорий муниципальных учреждений"</t>
    </r>
  </si>
  <si>
    <t>Установка (расширение) единых функциональных систем в муниципальных учреждениях</t>
  </si>
  <si>
    <t>Реализация мероприятий по обращениям, поступающим к депутатам Торжокской городской Думы и Законодательного Собрания Тверской области</t>
  </si>
  <si>
    <t>Средства на реализацию мероприятий по обращениям, поступающим к депутатам Законодательного Собрания Тверской области</t>
  </si>
  <si>
    <t>Обеспечение жилыми помещениями  малоимущих многодетных семей, нуждающихся в жилых помещениях за счет субсидии из областного бюджета</t>
  </si>
  <si>
    <t>Развитие системы газоснабжения города за счет субсидии из областного бюджета</t>
  </si>
  <si>
    <t xml:space="preserve"> Адресная инвестиционная программа</t>
  </si>
  <si>
    <t>муниципального образования город Торжок на 2018 год и на плановый период 2019 и 2020 годов</t>
  </si>
  <si>
    <t>№ п/п</t>
  </si>
  <si>
    <t xml:space="preserve">Наименование </t>
  </si>
  <si>
    <t xml:space="preserve">Бюджетополучатель    </t>
  </si>
  <si>
    <t>Лимит местного бюджета (тыс. руб.)</t>
  </si>
  <si>
    <t xml:space="preserve">Раздел и подраздел бюджетной классификации расходов </t>
  </si>
  <si>
    <t xml:space="preserve">средства местного бюджета </t>
  </si>
  <si>
    <t xml:space="preserve">средства областного бюджета Тверской области </t>
  </si>
  <si>
    <t>средства федерального бюджета</t>
  </si>
  <si>
    <t>всего</t>
  </si>
  <si>
    <t>х</t>
  </si>
  <si>
    <t>1.1.</t>
  </si>
  <si>
    <t>1.1.1.</t>
  </si>
  <si>
    <t>Строительство распределительного газопровода низкого давления по  ул. Пустынь и Соминка в городе Торжке</t>
  </si>
  <si>
    <t xml:space="preserve">администрация муниципального образования город Торжок </t>
  </si>
  <si>
    <t xml:space="preserve">2. </t>
  </si>
  <si>
    <t>2.1.</t>
  </si>
  <si>
    <t>2.2.1.</t>
  </si>
  <si>
    <t>Приобретение в муниципальную собственность жилых помещений</t>
  </si>
  <si>
    <t>2.2.</t>
  </si>
  <si>
    <t>Всего</t>
  </si>
  <si>
    <t xml:space="preserve">Осуществление отдельных государственных полномочий Тверской области по организации деятельности по накоплению (в том числе раздельному накоплению ), сбору, транспортированию, обработке, утилизации, обезвреживанию, захоронению твердых коммунальных отходов </t>
  </si>
  <si>
    <t xml:space="preserve">Приложение 7 </t>
  </si>
  <si>
    <t>Приложение  1</t>
  </si>
  <si>
    <t>Источники  финансирования  дефицита  бюджета</t>
  </si>
  <si>
    <t>Код БК РФ</t>
  </si>
  <si>
    <t>000 01 03 00 00 00 0000 000</t>
  </si>
  <si>
    <t>Бюджетные кредиты от других бюджетов бюджетной системы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</si>
  <si>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</si>
  <si>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</si>
  <si>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</si>
  <si>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</si>
  <si>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</si>
  <si>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</si>
  <si>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</si>
  <si>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</si>
  <si>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</si>
  <si>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</si>
  <si>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</si>
  <si>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</si>
  <si>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000 01 05 02 01 04 0000 510</t>
  </si>
  <si>
    <t>Увеличение прочих остатков  денежных средств  бюджетов городских округов</t>
  </si>
  <si>
    <t>000 01 05 00 00 00 0000 600</t>
  </si>
  <si>
    <t>Уменьшение остатков средств бюджетов</t>
  </si>
  <si>
    <t>000 01 05 02 00 00 0000 600</t>
  </si>
  <si>
    <t>Уменьшение прочих остатков  средств  бюджетов</t>
  </si>
  <si>
    <t>000 01 05 02 01 04 0000 610</t>
  </si>
  <si>
    <t>Уменьшение прочих остатков  денежных средств  бюджетов городских округов</t>
  </si>
  <si>
    <t>Итого источники финансирования дефицита бюджета</t>
  </si>
  <si>
    <t>Проектирование, строительство и реконструкция объектов спортивной направленности</t>
  </si>
  <si>
    <t>3.</t>
  </si>
  <si>
    <t>3.1.</t>
  </si>
  <si>
    <t>3.1.1.</t>
  </si>
  <si>
    <t>Физкультурно-оздоровительный комплекс открытого вида</t>
  </si>
  <si>
    <t>Участие физических и юридических лиц в благоустройстве  территории города</t>
  </si>
  <si>
    <r>
      <t xml:space="preserve">ПРОГРАММА
муниципальных </t>
    </r>
    <r>
      <rPr>
        <b/>
        <sz val="12"/>
        <color theme="1"/>
        <rFont val="Times New Roman"/>
        <family val="1"/>
      </rPr>
      <t>внутренних</t>
    </r>
    <r>
      <rPr>
        <b/>
        <sz val="12"/>
        <color rgb="FFFF0000"/>
        <rFont val="Times New Roman"/>
        <family val="1"/>
      </rPr>
      <t xml:space="preserve"> </t>
    </r>
    <r>
      <rPr>
        <b/>
        <sz val="12"/>
        <rFont val="Times New Roman"/>
        <family val="1"/>
      </rPr>
      <t xml:space="preserve">заимствований муниципального образования город Торжок                        на 2018 год и на плановый период 2019 и 2020 годов  
</t>
    </r>
  </si>
  <si>
    <t>1.</t>
  </si>
  <si>
    <t>Привлечение заёмных средств :</t>
  </si>
  <si>
    <t>тыс.руб.</t>
  </si>
  <si>
    <t>№
 п/п</t>
  </si>
  <si>
    <t>источники</t>
  </si>
  <si>
    <t>Объем привлечения, тыс. руб.</t>
  </si>
  <si>
    <t>Бюджетные кредиты, полученные из областного бюджета</t>
  </si>
  <si>
    <t>ИТОГО:</t>
  </si>
  <si>
    <t xml:space="preserve">     Внутренние заимствования муниципального образования город Торжок осуществляются на покрытие кассовых разрывов, возникающих при исполнении бюджета, в целях финансирования дефицита бюджета.     </t>
  </si>
  <si>
    <t>2. Погашение долговых обязательств:</t>
  </si>
  <si>
    <t>№ 
п/п</t>
  </si>
  <si>
    <t>долговые обязательства</t>
  </si>
  <si>
    <t>Объем погашения, тыс. руб.</t>
  </si>
  <si>
    <t>Кредитные соглашения и договоры заключённые от имени муниципального образования</t>
  </si>
  <si>
    <t>в том числе:</t>
  </si>
  <si>
    <t>с Министерством финансов Тверской области</t>
  </si>
  <si>
    <t>бюджетные кредиты, полученные  за счет средств федерального бюджета на пополнение остатков средств на счетах местных бюджетов</t>
  </si>
  <si>
    <t>Бюджетные кредиты, полученные  за счет средств федерального бюджета на пополнение остатков средств на счетах местных бюджетов</t>
  </si>
  <si>
    <t>000 01 03 01 00 04 0001 710</t>
  </si>
  <si>
    <t>Получение кредитов за счет средств федерального бюджета на пополнение остатков средств на счетах местных бюджетов</t>
  </si>
  <si>
    <t>000 01 03 01 00 04 0001 810</t>
  </si>
  <si>
    <t>Погашение бюджетных кредитов, полученных за счет средств федерального бюджета на пополнение остатков средств на счетах местных бюджетов</t>
  </si>
  <si>
    <t>000 01 03 01 00 04 0002 710</t>
  </si>
  <si>
    <t>000 01 03 01 00 04 0002 810</t>
  </si>
  <si>
    <t>Приложение 8</t>
  </si>
  <si>
    <t>Иные закупки товаров, работ и услуг для обеспечения
государственных (муниципальных) нужд</t>
  </si>
  <si>
    <t>Профессиональная подготовка, переподготовка и повышение квалификации</t>
  </si>
  <si>
    <t xml:space="preserve"> Расходы на выплаты персоналу государственных
(муниципальных) органов</t>
  </si>
  <si>
    <t>Предоставление платежей, взносов, безвозмездных
перечислений субъектам международного права</t>
  </si>
  <si>
    <t>Приложение 2</t>
  </si>
  <si>
    <t>Прогнозируемые доходы бюджета муниципального образования город Торжок по группам, подгруппам, 
статьям, подстатьям и элементам доходов классификации доходов 
бюджетов  Российской Федерации на 2018 год и на плановый период 2019 и 2020 годов</t>
  </si>
  <si>
    <t>Код классификации Российской Федерации</t>
  </si>
  <si>
    <t>Наименование дохода</t>
  </si>
  <si>
    <t>Сумма, тыс.руб.</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</si>
  <si>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</si>
  <si>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</si>
  <si>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</si>
  <si>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</si>
  <si>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</si>
  <si>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</si>
  <si>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</si>
  <si>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</si>
  <si>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</si>
  <si>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</si>
  <si>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</si>
  <si>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</si>
  <si>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</si>
  <si>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</si>
  <si>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</si>
  <si>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</si>
  <si>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</si>
  <si>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</si>
  <si>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</si>
  <si>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</si>
  <si>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</si>
  <si>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</si>
  <si>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</si>
  <si>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</si>
  <si>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000 1 05 02000 02 0000 110</t>
  </si>
  <si>
    <t>Единый налог на вмененный доход для отдельных видов деятельности</t>
  </si>
  <si>
    <t>000 1 05 02010 02 0000 110</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</si>
  <si>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</si>
  <si>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</si>
  <si>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</si>
  <si>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</si>
  <si>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</si>
  <si>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</si>
  <si>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</si>
  <si>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</si>
  <si>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</si>
  <si>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</si>
  <si>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</si>
  <si>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</si>
  <si>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</si>
  <si>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</si>
  <si>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</si>
  <si>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</si>
  <si>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</si>
  <si>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</si>
  <si>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</si>
  <si>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</si>
  <si>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</si>
  <si>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</si>
  <si>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</si>
  <si>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</si>
  <si>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</si>
  <si>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</si>
  <si>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</si>
  <si>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</si>
  <si>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</si>
  <si>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</si>
  <si>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</si>
  <si>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</si>
  <si>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</si>
  <si>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</si>
  <si>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</si>
  <si>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</si>
  <si>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</si>
  <si>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</si>
  <si>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</si>
  <si>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</si>
  <si>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</si>
  <si>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</si>
  <si>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</si>
  <si>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</si>
  <si>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</si>
  <si>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Доходы от сдачи в аренду имущества, составляющего  казну городских округов (за исключением земельных участков)</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</si>
  <si>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</si>
  <si>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</si>
  <si>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</si>
  <si>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</si>
  <si>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</si>
  <si>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</si>
  <si>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</si>
  <si>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</si>
  <si>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</si>
  <si>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</si>
  <si>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</si>
  <si>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</si>
  <si>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</si>
  <si>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</si>
  <si>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</si>
  <si>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</si>
  <si>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</si>
  <si>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</si>
  <si>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</si>
  <si>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</si>
  <si>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</si>
  <si>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</si>
  <si>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000 1 12 01041 01 0000 120</t>
  </si>
  <si>
    <t xml:space="preserve">Плата за размещение отходов производства
</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</si>
  <si>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</si>
  <si>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</si>
  <si>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</si>
  <si>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</si>
  <si>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000 1 13 01990 00 0000 130</t>
  </si>
  <si>
    <t>Прочие доходы от оказания платных услуг (работ)</t>
  </si>
  <si>
    <t>000 1 13 01994 04 0000 130</t>
  </si>
  <si>
    <t>Прочие доходы от оказания платных услуг (работ) получателями средств бюджетов городских округов</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</si>
  <si>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</si>
  <si>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</si>
  <si>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</si>
  <si>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</si>
  <si>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</si>
  <si>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</si>
  <si>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</si>
  <si>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</si>
  <si>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</si>
  <si>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</si>
  <si>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</si>
  <si>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</si>
  <si>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</si>
  <si>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</si>
  <si>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</si>
  <si>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</si>
  <si>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</si>
  <si>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</si>
  <si>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</si>
  <si>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</si>
  <si>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000 1 16 03030 01 0000 140</t>
  </si>
  <si>
    <t>Денежные взыскания (штрафы) за административные правонарушения в области налогов и сборов, предусмотренные Кодеском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</si>
  <si>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</si>
  <si>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</si>
  <si>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000 1 16 08000 00 0000 140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</si>
  <si>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</si>
  <si>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</si>
  <si>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</si>
  <si>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</si>
  <si>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</si>
  <si>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000 1 16 25050 01 0000 140</t>
  </si>
  <si>
    <t>Денежные взыскания (штрафы) за нарушение законодательства в области охраны окружающей среды</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</si>
  <si>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</si>
  <si>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</si>
  <si>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</si>
  <si>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</si>
  <si>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</si>
  <si>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движения</t>
  </si>
  <si>
    <t xml:space="preserve">000 1 16 30030 01 0000 140
</t>
  </si>
  <si>
    <t>Прочие денежные взыскания (штрафы) за правонарушения в области дорожного движения</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</si>
  <si>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</si>
  <si>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</si>
  <si>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</si>
  <si>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</si>
  <si>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</si>
  <si>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</si>
  <si>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</si>
  <si>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</si>
  <si>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</si>
  <si>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</si>
  <si>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000 1 16 90000 00 0000 140</t>
  </si>
  <si>
    <t>Прочие поступления от денежных взысканий (штрафов) и иных сумм в возмещение ущерба</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</si>
  <si>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</si>
  <si>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</si>
  <si>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</si>
  <si>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</si>
  <si>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</si>
  <si>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</si>
  <si>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000 2 02 20000 00 0000 151</t>
  </si>
  <si>
    <t>Субсидии бюджетам бюджетной системы Российской Федерации (межбюджетные субсидии)</t>
  </si>
  <si>
    <t>000 2 02 29999 00 0000 151</t>
  </si>
  <si>
    <t>Прочие субсидии</t>
  </si>
  <si>
    <t>000 2 02 29999 04 0000 151</t>
  </si>
  <si>
    <t>Субсидии на организацию отдыха детей в каникулярное время</t>
  </si>
  <si>
    <t>Субсидии на организацию обеспечения учащихся начальных классов муниципальных общеобразовательных организаций горячим питанием</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</si>
  <si>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</si>
  <si>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Субсидии на повышение заработной платы педагогическим работникам муниципальных организаций дополнительного образования</t>
  </si>
  <si>
    <t>Субсидии на повышение заработной платы работникам муниципальных учреждений культуры Тверской области</t>
  </si>
  <si>
    <t>Субсидии на укрепление материально-технической базы муниципальных общеобразовательных организаций</t>
  </si>
  <si>
    <t>000 2 02 29999 04 2223 151</t>
  </si>
  <si>
    <t>Субсидии на повышение оплаты труда работникам муниципальных учреждений в связи с увеличением минимального размера оплаты труда</t>
  </si>
  <si>
    <t>000  2 02 29999 04 2049 151</t>
  </si>
  <si>
    <t>Субсидии на поддержку редакций районных и городских газет</t>
  </si>
  <si>
    <t>000  2 02 29999 04 9000 151</t>
  </si>
  <si>
    <t>Субсидии на реализацию программ по поддержке местных инициатив в Тверской области на территории городских округов Тверской области</t>
  </si>
  <si>
    <t>000 2 02 29999 04 2075 151</t>
  </si>
  <si>
    <t>Субсидии бюджетам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</si>
  <si>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000 2 02 29999 04 2045 151</t>
  </si>
  <si>
    <t>Субсидии на обеспечение жилыми помещениями малоимущих многодетных семей, нуждающихся в жилых помещениях</t>
  </si>
  <si>
    <t>000 2 02 20216 04 2224 151</t>
  </si>
  <si>
    <t>Субсидии на капитальный ремонт и ремонт улично-дорожной сети муниципальных образований Тверской области</t>
  </si>
  <si>
    <t>000 2 02 25497 04 0000 151</t>
  </si>
  <si>
    <t>Субсидии бюджетам городских округов на реализацию мероприятий по обеспечению жильем молодых семей</t>
  </si>
  <si>
    <t xml:space="preserve">000 2 02 25555 04 0000 151
</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</si>
  <si>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</si>
  <si>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000 2 02 20077 04 0000 151
</t>
  </si>
  <si>
    <t>Субсидии на развитие системы газоснабжения населенных пунктов Тверской области</t>
  </si>
  <si>
    <t>000 2 02 25519 04 000 151</t>
  </si>
  <si>
    <t xml:space="preserve">Субсидия бюджетам городских округов на поддержку отрасли культуры
</t>
  </si>
  <si>
    <t>000 2 02 30000 00 0000 151</t>
  </si>
  <si>
    <t>Субвенции бюджетам бюджетной системы Российской Федерации</t>
  </si>
  <si>
    <t>000 2 02 30029 00 0000 151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</si>
  <si>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</si>
  <si>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</si>
  <si>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</si>
  <si>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</si>
  <si>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</si>
  <si>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</si>
  <si>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</si>
  <si>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</si>
  <si>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</si>
  <si>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</si>
  <si>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</si>
  <si>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000 2 02 35930 00 0000 151</t>
  </si>
  <si>
    <t xml:space="preserve">Субвенции  бюджетам на  государственную регистрацию актов гражданского состояния </t>
  </si>
  <si>
    <t>000 2 02 35930 04 0000 151</t>
  </si>
  <si>
    <t xml:space="preserve">Субвенции  бюджетам городских округов на  государственную регистрацию актов гражданского состояния </t>
  </si>
  <si>
    <t>000 2 02 39999 00 0000 151</t>
  </si>
  <si>
    <t>Прочие субвенции</t>
  </si>
  <si>
    <t>000 2 02 39999 04 0000 151</t>
  </si>
  <si>
    <t>Субвенции бюджетам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</si>
  <si>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</si>
  <si>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</si>
  <si>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</si>
  <si>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Тверской области</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</si>
  <si>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</si>
  <si>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</si>
  <si>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000 2 02 40000 00 0000 151</t>
  </si>
  <si>
    <t>Иные межбюджетные трансферты</t>
  </si>
  <si>
    <t>000 2 02 49999 00 0000 151</t>
  </si>
  <si>
    <t>Прочие межбюджетные трансферты, передаваемые бюджетам</t>
  </si>
  <si>
    <t>000 2 02 49999 04 0000 151</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</si>
  <si>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</si>
  <si>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000 2 04 00000 00 0000 000</t>
  </si>
  <si>
    <t>БЕЗВОЗМЕЗДНЫЕ ПОСТУПЛЕНИЯ ОТ НЕГОСУДАРСТВЕННЫХ ОРГАНИЗАЦМЙ</t>
  </si>
  <si>
    <t>000 2 04 04000 04 0000 180</t>
  </si>
  <si>
    <t>Безвозмездные поступления от негосударственных организаций в бюджеты городских округов</t>
  </si>
  <si>
    <t>000 2 04 04099 04 0000 180</t>
  </si>
  <si>
    <t>Прочие безвозмездные поступления от негосударственных организаций в бюджеты городских округов*</t>
  </si>
  <si>
    <t>000 2 07 00000 00 0000 000</t>
  </si>
  <si>
    <t>ПРОЧИЕ БЕЗВОЗМЕЗДНЫЕ ПОСТУПЛЕНИЯ</t>
  </si>
  <si>
    <t>000 2 07 04000 04 0000 180</t>
  </si>
  <si>
    <t>Прочие безвозмездные поступления в бюджеты городских округов</t>
  </si>
  <si>
    <t>000 2 07 04050 04 0000 180</t>
  </si>
  <si>
    <t>ИТОГО ДОХОДОВ</t>
  </si>
  <si>
    <t>к решению Торжокской городской Думы</t>
  </si>
  <si>
    <t xml:space="preserve">от 24.10.2018  № 164  </t>
  </si>
  <si>
    <t>к   решению Торжокской городской Думы</t>
  </si>
  <si>
    <t>от 24.10.2018 № 164</t>
  </si>
  <si>
    <t>Приложение 3
к решению Торжокской городской Думы
от 24.10.2018  № 164</t>
  </si>
  <si>
    <t>Приложение 4
к решению Торжокской городской Думы
от 24.10.2018  № 164</t>
  </si>
  <si>
    <t>Приложение 5 
к решению Торжокской городской Думы
от 24.10.2018  № 164</t>
  </si>
  <si>
    <t>Приложение 6
к решению Торжокской городской Думы
от 24.10.2018  № 164</t>
  </si>
  <si>
    <t xml:space="preserve">к решению Торжокской городской Думы            </t>
  </si>
</sst>
</file>

<file path=xl/styles.xml><?xml version="1.0" encoding="utf-8"?>
<styleSheet xmlns="http://schemas.openxmlformats.org/spreadsheetml/2006/main">
  <numFmts count="5">
    <numFmt numFmtId="164" formatCode="_-* #,##0.00&quot;р.&quot;_-;\-* #,##0.00&quot;р.&quot;_-;_-* &quot;-&quot;??&quot;р.&quot;_-;_-@_-"/>
    <numFmt numFmtId="165" formatCode="_-* #,##0.00_р_._-;\-* #,##0.00_р_._-;_-* &quot;-&quot;??_р_._-;_-@_-"/>
    <numFmt numFmtId="166" formatCode="0.0"/>
    <numFmt numFmtId="167" formatCode="#,##0.0"/>
    <numFmt numFmtId="168" formatCode="_-* #,##0_р_._-;\-* #,##0_р_._-;_-* &quot;-&quot;_р_._-;_-@_-"/>
  </numFmts>
  <fonts count="20">
    <font>
      <sz val="10"/>
      <name val="Arial Cyr"/>
      <family val="2"/>
    </font>
    <font>
      <sz val="10"/>
      <name val="Arial"/>
      <family val="2"/>
    </font>
    <font>
      <sz val="11"/>
      <color theme="1"/>
      <name val="Calibri"/>
      <family val="2"/>
      <scheme val="minor"/>
    </font>
    <font>
      <sz val="12"/>
      <name val="Times New Roman"/>
      <family val="1"/>
    </font>
    <font>
      <sz val="10"/>
      <color rgb="FF000000"/>
      <name val="Times New Roman"/>
      <family val="1"/>
    </font>
    <font>
      <sz val="12"/>
      <color rgb="FF000000"/>
      <name val="Times New Roman"/>
      <family val="1"/>
    </font>
    <font>
      <sz val="12"/>
      <color indexed="8"/>
      <name val="Times New Roman"/>
      <family val="1"/>
    </font>
    <font>
      <b/>
      <sz val="12"/>
      <name val="Times New Roman"/>
      <family val="1"/>
    </font>
    <font>
      <b/>
      <sz val="12"/>
      <color rgb="FF000000"/>
      <name val="Times New Roman"/>
      <family val="1"/>
    </font>
    <font>
      <sz val="12"/>
      <color theme="3" tint="0.39998000860214233"/>
      <name val="Times New Roman"/>
      <family val="1"/>
    </font>
    <font>
      <b/>
      <sz val="12"/>
      <color rgb="FFFF0000"/>
      <name val="Times New Roman"/>
      <family val="1"/>
    </font>
    <font>
      <sz val="12"/>
      <color rgb="FFFF0000"/>
      <name val="Times New Roman"/>
      <family val="1"/>
    </font>
    <font>
      <i/>
      <sz val="12"/>
      <name val="Times New Roman"/>
      <family val="1"/>
    </font>
    <font>
      <sz val="12"/>
      <color theme="1"/>
      <name val="Times New Roman"/>
      <family val="1"/>
    </font>
    <font>
      <b/>
      <sz val="12"/>
      <color theme="1"/>
      <name val="Times New Roman"/>
      <family val="1"/>
    </font>
    <font>
      <sz val="14"/>
      <name val="Times New Roman"/>
      <family val="1"/>
    </font>
    <font>
      <b/>
      <sz val="13"/>
      <name val="Times New Roman"/>
      <family val="1"/>
    </font>
    <font>
      <sz val="13"/>
      <name val="Times New Roman"/>
      <family val="1"/>
    </font>
    <font>
      <sz val="13"/>
      <color rgb="FF000000"/>
      <name val="Times New Roman"/>
      <family val="1"/>
    </font>
    <font>
      <sz val="13"/>
      <color theme="1"/>
      <name val="Times New Roman"/>
      <family val="1"/>
    </font>
  </fonts>
  <fills count="2">
    <fill>
      <patternFill/>
    </fill>
    <fill>
      <patternFill patternType="gray125"/>
    </fill>
  </fills>
  <borders count="1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top style="thin"/>
      <bottom style="thin"/>
    </border>
    <border>
      <left/>
      <right/>
      <top style="thin"/>
      <bottom style="thin"/>
    </border>
    <border>
      <left style="thin">
        <color rgb="FF000000"/>
      </left>
      <right style="thin">
        <color rgb="FF000000"/>
      </right>
      <top/>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115">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165"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164" fontId="4" fillId="0" borderId="0">
      <alignment vertical="top" wrapText="1"/>
      <protection/>
    </xf>
    <xf numFmtId="164" fontId="4"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4" fontId="4" fillId="0" borderId="0">
      <alignment vertical="top"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horizontal="justify" vertical="top" wrapText="1"/>
      <protection/>
    </xf>
    <xf numFmtId="16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304">
    <xf numFmtId="0" fontId="0" fillId="0" borderId="0" xfId="0" applyAlignment="1">
      <alignment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49" fontId="3" fillId="0" borderId="1" xfId="0" applyNumberFormat="1" applyFont="1" applyFill="1" applyBorder="1" applyAlignment="1">
      <alignment horizontal="center" vertical="center" wrapText="1"/>
    </xf>
    <xf numFmtId="164" fontId="5" fillId="0" borderId="0" xfId="31" applyNumberFormat="1" applyFont="1" applyFill="1" applyAlignment="1">
      <alignment vertical="top" wrapText="1"/>
      <protection/>
    </xf>
    <xf numFmtId="0" fontId="8" fillId="0" borderId="2" xfId="31" applyNumberFormat="1" applyFont="1" applyFill="1" applyBorder="1" applyAlignment="1">
      <alignment horizontal="center" vertical="center" wrapText="1"/>
      <protection/>
    </xf>
    <xf numFmtId="0" fontId="8" fillId="0" borderId="2" xfId="31" applyNumberFormat="1" applyFont="1" applyFill="1" applyBorder="1" applyAlignment="1">
      <alignment horizontal="left" vertical="center" wrapText="1"/>
      <protection/>
    </xf>
    <xf numFmtId="167" fontId="8" fillId="0" borderId="2" xfId="31" applyNumberFormat="1" applyFont="1" applyFill="1" applyBorder="1" applyAlignment="1">
      <alignment horizontal="center" vertical="center" wrapText="1"/>
      <protection/>
    </xf>
    <xf numFmtId="167" fontId="5" fillId="0" borderId="2" xfId="31" applyNumberFormat="1" applyFont="1" applyFill="1" applyBorder="1" applyAlignment="1">
      <alignment horizontal="center" vertical="center" wrapText="1"/>
      <protection/>
    </xf>
    <xf numFmtId="0" fontId="3" fillId="0" borderId="1" xfId="0" applyFont="1" applyFill="1" applyBorder="1" applyAlignment="1">
      <alignment vertical="center" wrapText="1"/>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31" applyNumberFormat="1" applyFont="1" applyFill="1" applyBorder="1" applyAlignment="1">
      <alignment horizontal="left" vertical="center" wrapText="1"/>
      <protection/>
    </xf>
    <xf numFmtId="0" fontId="3" fillId="0" borderId="1" xfId="0" applyFont="1" applyFill="1" applyBorder="1" applyAlignment="1" applyProtection="1">
      <alignment vertical="center" wrapText="1"/>
      <protection locked="0"/>
    </xf>
    <xf numFmtId="164" fontId="5" fillId="0" borderId="0" xfId="31" applyNumberFormat="1" applyFont="1" applyFill="1" applyAlignment="1">
      <alignment vertical="center" wrapText="1"/>
      <protection/>
    </xf>
    <xf numFmtId="49" fontId="5" fillId="0" borderId="2" xfId="31" applyNumberFormat="1" applyFont="1" applyFill="1" applyBorder="1" applyAlignment="1">
      <alignment horizontal="center" vertical="center" wrapText="1"/>
      <protection/>
    </xf>
    <xf numFmtId="0" fontId="8" fillId="0" borderId="1" xfId="31" applyNumberFormat="1" applyFont="1" applyFill="1" applyBorder="1" applyAlignment="1">
      <alignment horizontal="center" vertical="center" wrapText="1"/>
      <protection/>
    </xf>
    <xf numFmtId="0" fontId="8" fillId="0" borderId="1" xfId="31" applyNumberFormat="1" applyFont="1" applyFill="1" applyBorder="1" applyAlignment="1">
      <alignment vertical="center" wrapText="1"/>
      <protection/>
    </xf>
    <xf numFmtId="167" fontId="5" fillId="0" borderId="1" xfId="31" applyNumberFormat="1" applyFont="1" applyFill="1" applyBorder="1" applyAlignment="1">
      <alignment horizontal="center" vertical="center" wrapText="1"/>
      <protection/>
    </xf>
    <xf numFmtId="49" fontId="3" fillId="0" borderId="1"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49" fontId="3" fillId="0" borderId="1" xfId="31" applyNumberFormat="1" applyFont="1" applyFill="1" applyBorder="1" applyAlignment="1">
      <alignment horizontal="center" vertical="center" wrapText="1"/>
      <protection/>
    </xf>
    <xf numFmtId="0" fontId="9" fillId="0" borderId="1" xfId="31" applyNumberFormat="1" applyFont="1" applyFill="1" applyBorder="1" applyAlignment="1">
      <alignment horizontal="center" vertical="center" wrapText="1"/>
      <protection/>
    </xf>
    <xf numFmtId="0" fontId="7" fillId="0" borderId="1" xfId="0" applyFont="1" applyFill="1" applyBorder="1" applyAlignment="1">
      <alignment horizontal="left" vertical="center" wrapText="1"/>
    </xf>
    <xf numFmtId="164" fontId="5" fillId="0" borderId="0" xfId="31" applyNumberFormat="1" applyFont="1" applyFill="1" applyAlignment="1">
      <alignment horizontal="center" vertical="center" wrapText="1"/>
      <protection/>
    </xf>
    <xf numFmtId="167" fontId="3" fillId="0" borderId="1" xfId="31" applyNumberFormat="1" applyFont="1" applyFill="1" applyBorder="1" applyAlignment="1">
      <alignment horizontal="center" vertical="center" wrapText="1"/>
      <protection/>
    </xf>
    <xf numFmtId="49" fontId="5" fillId="0" borderId="1" xfId="31" applyNumberFormat="1" applyFont="1" applyFill="1" applyBorder="1" applyAlignment="1">
      <alignment horizontal="center" vertical="center" wrapText="1"/>
      <protection/>
    </xf>
    <xf numFmtId="0" fontId="7" fillId="0" borderId="1" xfId="0" applyFont="1" applyFill="1" applyBorder="1" applyAlignment="1">
      <alignment horizontal="left" vertical="center"/>
    </xf>
    <xf numFmtId="0" fontId="5" fillId="0" borderId="1" xfId="31" applyNumberFormat="1" applyFont="1" applyFill="1" applyBorder="1" applyAlignment="1">
      <alignment vertical="center" wrapText="1"/>
      <protection/>
    </xf>
    <xf numFmtId="0" fontId="5" fillId="0" borderId="2" xfId="31" applyNumberFormat="1" applyFont="1" applyFill="1" applyBorder="1" applyAlignment="1">
      <alignment horizontal="center" vertical="center" wrapText="1"/>
      <protection/>
    </xf>
    <xf numFmtId="0" fontId="7" fillId="0" borderId="1" xfId="31" applyNumberFormat="1" applyFont="1" applyFill="1" applyBorder="1" applyAlignment="1">
      <alignment vertical="center" wrapText="1"/>
      <protection/>
    </xf>
    <xf numFmtId="167" fontId="7" fillId="0" borderId="1" xfId="31" applyNumberFormat="1" applyFont="1" applyFill="1" applyBorder="1" applyAlignment="1">
      <alignment horizontal="center" vertical="center" wrapText="1"/>
      <protection/>
    </xf>
    <xf numFmtId="164" fontId="3" fillId="0" borderId="0" xfId="31" applyNumberFormat="1" applyFont="1" applyFill="1" applyAlignment="1">
      <alignment vertical="top" wrapText="1"/>
      <protection/>
    </xf>
    <xf numFmtId="0" fontId="3" fillId="0" borderId="2" xfId="31" applyNumberFormat="1" applyFont="1" applyFill="1" applyBorder="1" applyAlignment="1">
      <alignment horizontal="left" vertical="center" wrapText="1"/>
      <protection/>
    </xf>
    <xf numFmtId="49" fontId="3" fillId="0" borderId="1" xfId="0" applyNumberFormat="1" applyFont="1" applyFill="1" applyBorder="1" applyAlignment="1">
      <alignment horizontal="justify" vertical="center" wrapText="1"/>
    </xf>
    <xf numFmtId="164" fontId="3" fillId="0" borderId="0" xfId="31" applyNumberFormat="1" applyFont="1" applyFill="1" applyAlignment="1">
      <alignment vertical="center" wrapText="1"/>
      <protection/>
    </xf>
    <xf numFmtId="164" fontId="3" fillId="0" borderId="0" xfId="31" applyNumberFormat="1" applyFont="1" applyFill="1" applyAlignment="1">
      <alignment wrapText="1"/>
      <protection/>
    </xf>
    <xf numFmtId="0" fontId="7" fillId="0" borderId="1" xfId="31" applyNumberFormat="1" applyFont="1" applyFill="1" applyBorder="1" applyAlignment="1">
      <alignment horizontal="center" vertical="center" wrapText="1"/>
      <protection/>
    </xf>
    <xf numFmtId="2" fontId="5" fillId="0" borderId="0" xfId="31" applyNumberFormat="1" applyFont="1" applyFill="1" applyAlignment="1">
      <alignment vertical="top" wrapText="1"/>
      <protection/>
    </xf>
    <xf numFmtId="164" fontId="5" fillId="0" borderId="0" xfId="32" applyNumberFormat="1" applyFont="1" applyFill="1" applyAlignment="1">
      <alignment vertical="center" wrapText="1"/>
      <protection/>
    </xf>
    <xf numFmtId="0" fontId="8" fillId="0" borderId="3" xfId="32" applyNumberFormat="1" applyFont="1" applyFill="1" applyBorder="1" applyAlignment="1">
      <alignment horizontal="center" vertical="center" wrapText="1"/>
      <protection/>
    </xf>
    <xf numFmtId="0" fontId="8" fillId="0" borderId="3" xfId="32" applyNumberFormat="1" applyFont="1" applyFill="1" applyBorder="1" applyAlignment="1">
      <alignment horizontal="left" vertical="center" wrapText="1"/>
      <protection/>
    </xf>
    <xf numFmtId="0" fontId="7" fillId="0" borderId="1" xfId="32" applyNumberFormat="1" applyFont="1" applyFill="1" applyBorder="1" applyAlignment="1">
      <alignment horizontal="center" vertical="center" wrapText="1"/>
      <protection/>
    </xf>
    <xf numFmtId="164" fontId="8" fillId="0" borderId="0" xfId="32" applyNumberFormat="1" applyFont="1" applyFill="1" applyAlignment="1">
      <alignment vertical="center" wrapText="1"/>
      <protection/>
    </xf>
    <xf numFmtId="166" fontId="8" fillId="0" borderId="3" xfId="32" applyNumberFormat="1" applyFont="1" applyFill="1" applyBorder="1" applyAlignment="1">
      <alignment horizontal="center" vertical="center" wrapText="1"/>
      <protection/>
    </xf>
    <xf numFmtId="166" fontId="8" fillId="0" borderId="1" xfId="32" applyNumberFormat="1" applyFont="1" applyFill="1" applyBorder="1" applyAlignment="1">
      <alignment horizontal="center" vertical="center" wrapText="1"/>
      <protection/>
    </xf>
    <xf numFmtId="166" fontId="5" fillId="0" borderId="1" xfId="32" applyNumberFormat="1" applyFont="1" applyFill="1" applyBorder="1" applyAlignment="1">
      <alignment horizontal="center" vertical="center" wrapText="1"/>
      <protection/>
    </xf>
    <xf numFmtId="166" fontId="5" fillId="0" borderId="0" xfId="32" applyNumberFormat="1" applyFont="1" applyFill="1" applyAlignment="1">
      <alignment vertical="center" wrapText="1"/>
      <protection/>
    </xf>
    <xf numFmtId="0" fontId="5" fillId="0" borderId="2" xfId="31" applyNumberFormat="1" applyFont="1" applyFill="1" applyBorder="1" applyAlignment="1">
      <alignment vertical="center" wrapText="1"/>
      <protection/>
    </xf>
    <xf numFmtId="0" fontId="3" fillId="0" borderId="0" xfId="0" applyFont="1" applyAlignment="1">
      <alignment wrapText="1"/>
    </xf>
    <xf numFmtId="166" fontId="3" fillId="0" borderId="1" xfId="32" applyNumberFormat="1" applyFont="1" applyFill="1" applyBorder="1" applyAlignment="1">
      <alignment horizontal="center" vertical="center" wrapText="1"/>
      <protection/>
    </xf>
    <xf numFmtId="0" fontId="5" fillId="0" borderId="0" xfId="31" applyNumberFormat="1" applyFont="1" applyFill="1" applyAlignment="1">
      <alignment horizontal="right" vertical="top"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7" fillId="0" borderId="2" xfId="31" applyNumberFormat="1" applyFont="1" applyFill="1" applyBorder="1" applyAlignment="1">
      <alignment horizontal="lef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2" xfId="31" applyNumberFormat="1" applyFont="1" applyFill="1" applyBorder="1" applyAlignment="1">
      <alignment horizontal="center" vertical="center" wrapText="1"/>
      <protection/>
    </xf>
    <xf numFmtId="0" fontId="5" fillId="0" borderId="2" xfId="32" applyNumberFormat="1" applyFont="1" applyFill="1" applyBorder="1" applyAlignment="1">
      <alignment horizontal="center" vertical="center" wrapText="1"/>
      <protection/>
    </xf>
    <xf numFmtId="166" fontId="5" fillId="0" borderId="2" xfId="32" applyNumberFormat="1" applyFont="1" applyFill="1" applyBorder="1" applyAlignment="1">
      <alignment horizontal="center" vertical="center" wrapText="1"/>
      <protection/>
    </xf>
    <xf numFmtId="0" fontId="3" fillId="0" borderId="0" xfId="0" applyFont="1" applyFill="1" applyAlignment="1">
      <alignment wrapText="1"/>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49" fontId="5" fillId="0" borderId="0" xfId="31" applyNumberFormat="1" applyFont="1" applyFill="1" applyAlignment="1">
      <alignment vertical="top" wrapText="1"/>
      <protection/>
    </xf>
    <xf numFmtId="0" fontId="3" fillId="0" borderId="1" xfId="0" applyFont="1" applyFill="1" applyBorder="1" applyAlignment="1">
      <alignment horizontal="left" vertical="center" wrapText="1"/>
    </xf>
    <xf numFmtId="0" fontId="5" fillId="0" borderId="0" xfId="0" applyFont="1" applyAlignment="1">
      <alignment wrapText="1"/>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167" fontId="8" fillId="0" borderId="4"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0" xfId="0" applyFont="1" applyFill="1" applyAlignment="1">
      <alignment vertical="center" wrapText="1"/>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4" xfId="31" applyNumberFormat="1" applyFont="1" applyFill="1" applyBorder="1" applyAlignment="1">
      <alignment horizontal="left" vertical="center" wrapText="1"/>
      <protection/>
    </xf>
    <xf numFmtId="0" fontId="3" fillId="0" borderId="1" xfId="31" applyNumberFormat="1" applyFont="1" applyFill="1" applyBorder="1" applyAlignment="1">
      <alignmen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7" fillId="0" borderId="5" xfId="0" applyFont="1" applyFill="1" applyBorder="1" applyAlignment="1">
      <alignment horizontal="left" vertical="center" wrapText="1"/>
    </xf>
    <xf numFmtId="0" fontId="3" fillId="0" borderId="0" xfId="103" applyFont="1" applyAlignment="1">
      <alignment horizontal="left"/>
      <protection/>
    </xf>
    <xf numFmtId="0" fontId="3" fillId="0" borderId="0" xfId="103" applyFont="1">
      <alignment/>
      <protection/>
    </xf>
    <xf numFmtId="0" fontId="3" fillId="0" borderId="0" xfId="103" applyFont="1" applyAlignment="1">
      <alignment horizontal="center"/>
      <protection/>
    </xf>
    <xf numFmtId="0" fontId="7" fillId="0" borderId="0" xfId="103" applyFont="1" applyAlignment="1">
      <alignment horizontal="left"/>
      <protection/>
    </xf>
    <xf numFmtId="0" fontId="7" fillId="0" borderId="0" xfId="103" applyFont="1">
      <alignment/>
      <protection/>
    </xf>
    <xf numFmtId="0" fontId="7" fillId="0" borderId="0" xfId="103" applyFont="1" applyAlignment="1">
      <alignment horizontal="center"/>
      <protection/>
    </xf>
    <xf numFmtId="0" fontId="7" fillId="0" borderId="0" xfId="103" applyFont="1" applyAlignment="1">
      <alignment vertical="center" wrapText="1"/>
      <protection/>
    </xf>
    <xf numFmtId="0" fontId="3" fillId="0" borderId="1" xfId="103" applyFont="1" applyBorder="1" applyAlignment="1">
      <alignment horizontal="center" vertical="center" wrapText="1"/>
      <protection/>
    </xf>
    <xf numFmtId="0" fontId="13" fillId="0" borderId="1" xfId="0" applyFont="1" applyBorder="1" applyAlignment="1">
      <alignment horizontal="left" vertical="center" wrapText="1"/>
    </xf>
    <xf numFmtId="0" fontId="13" fillId="0" borderId="6" xfId="0" applyFont="1" applyBorder="1" applyAlignment="1">
      <alignment horizontal="center" vertical="center" wrapText="1"/>
    </xf>
    <xf numFmtId="49" fontId="3" fillId="0" borderId="1" xfId="103" applyNumberFormat="1" applyFont="1" applyBorder="1" applyAlignment="1">
      <alignment horizontal="center" vertical="center" wrapText="1"/>
      <protection/>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6" xfId="0" applyFont="1" applyFill="1" applyBorder="1" applyAlignment="1">
      <alignment vertical="center" wrapText="1"/>
    </xf>
    <xf numFmtId="0" fontId="3" fillId="0" borderId="1" xfId="104" applyFont="1" applyBorder="1" applyAlignment="1">
      <alignment horizontal="left" vertical="center" wrapText="1"/>
      <protection/>
    </xf>
    <xf numFmtId="0" fontId="3" fillId="0" borderId="1" xfId="104" applyFont="1" applyBorder="1" applyAlignment="1">
      <alignment horizontal="center" vertical="center" wrapText="1"/>
      <protection/>
    </xf>
    <xf numFmtId="166" fontId="3" fillId="0" borderId="1" xfId="103" applyNumberFormat="1" applyFont="1" applyBorder="1" applyAlignment="1">
      <alignment horizontal="center" vertical="center" wrapText="1"/>
      <protection/>
    </xf>
    <xf numFmtId="49" fontId="3" fillId="0" borderId="1" xfId="103" applyNumberFormat="1" applyFont="1" applyFill="1" applyBorder="1" applyAlignment="1">
      <alignment horizontal="center" vertical="center" wrapText="1"/>
      <protection/>
    </xf>
    <xf numFmtId="166" fontId="3" fillId="0" borderId="1" xfId="103" applyNumberFormat="1" applyFont="1" applyFill="1" applyBorder="1" applyAlignment="1">
      <alignment horizontal="center" vertical="center" wrapText="1"/>
      <protection/>
    </xf>
    <xf numFmtId="0" fontId="3" fillId="0" borderId="1" xfId="103" applyFont="1" applyBorder="1" applyAlignment="1">
      <alignment horizontal="left" vertical="center" wrapText="1"/>
      <protection/>
    </xf>
    <xf numFmtId="0" fontId="3" fillId="0" borderId="0" xfId="103" applyFont="1" applyBorder="1" applyAlignment="1">
      <alignment horizontal="left" vertical="center" wrapText="1"/>
      <protection/>
    </xf>
    <xf numFmtId="0" fontId="3" fillId="0" borderId="0" xfId="103" applyFont="1" applyBorder="1" applyAlignment="1">
      <alignment horizontal="center" vertical="center" wrapText="1"/>
      <protection/>
    </xf>
    <xf numFmtId="166" fontId="3" fillId="0" borderId="0" xfId="103" applyNumberFormat="1" applyFont="1" applyFill="1" applyBorder="1" applyAlignment="1">
      <alignment horizontal="center" vertical="center" wrapText="1"/>
      <protection/>
    </xf>
    <xf numFmtId="166" fontId="3" fillId="0" borderId="0" xfId="103" applyNumberFormat="1" applyFont="1" applyBorder="1" applyAlignment="1">
      <alignment horizontal="center" vertical="center" wrapText="1"/>
      <protection/>
    </xf>
    <xf numFmtId="49" fontId="3" fillId="0" borderId="0" xfId="103" applyNumberFormat="1" applyFont="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3" fillId="0" borderId="1" xfId="0"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wrapText="1"/>
    </xf>
    <xf numFmtId="49"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166" fontId="7"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166" fontId="3" fillId="0" borderId="1" xfId="0" applyNumberFormat="1" applyFont="1" applyBorder="1" applyAlignment="1">
      <alignment horizontal="center" vertical="center"/>
    </xf>
    <xf numFmtId="166" fontId="3" fillId="0" borderId="5" xfId="0" applyNumberFormat="1" applyFont="1" applyBorder="1" applyAlignment="1">
      <alignment horizontal="center" vertical="center" wrapText="1"/>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right"/>
    </xf>
    <xf numFmtId="0" fontId="3" fillId="0" borderId="0" xfId="0" applyFont="1" applyAlignment="1">
      <alignment horizontal="center"/>
    </xf>
    <xf numFmtId="0" fontId="3" fillId="0" borderId="0" xfId="0" applyFont="1" applyAlignment="1">
      <alignment horizontal="right"/>
    </xf>
    <xf numFmtId="166" fontId="5" fillId="0" borderId="0" xfId="31" applyNumberFormat="1" applyFont="1" applyFill="1" applyAlignment="1">
      <alignment vertical="top" wrapText="1"/>
      <protection/>
    </xf>
    <xf numFmtId="0" fontId="3" fillId="0" borderId="1" xfId="103"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104" applyFont="1" applyBorder="1" applyAlignment="1">
      <alignment horizontal="center" wrapText="1"/>
      <protection/>
    </xf>
    <xf numFmtId="0" fontId="7" fillId="0" borderId="1" xfId="103" applyFont="1" applyBorder="1" applyAlignment="1">
      <alignment horizontal="left" vertical="center" wrapText="1"/>
      <protection/>
    </xf>
    <xf numFmtId="0" fontId="7" fillId="0" borderId="1" xfId="103" applyFont="1" applyBorder="1" applyAlignment="1">
      <alignment horizontal="center" vertical="center" wrapText="1"/>
      <protection/>
    </xf>
    <xf numFmtId="166" fontId="7" fillId="0" borderId="1" xfId="103" applyNumberFormat="1" applyFont="1" applyBorder="1" applyAlignment="1">
      <alignment horizontal="center" vertical="center" wrapText="1"/>
      <protection/>
    </xf>
    <xf numFmtId="49" fontId="7" fillId="0" borderId="1" xfId="103" applyNumberFormat="1" applyFont="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0" xfId="109" applyFont="1" applyAlignment="1">
      <alignment horizontal="justify" vertical="top" wrapText="1"/>
      <protection/>
    </xf>
    <xf numFmtId="168" fontId="3" fillId="0" borderId="0" xfId="110" applyNumberFormat="1" applyFont="1" applyAlignment="1">
      <alignment vertical="top" wrapText="1"/>
    </xf>
    <xf numFmtId="0" fontId="3" fillId="0" borderId="0" xfId="109" applyFont="1" applyAlignment="1">
      <alignment horizontal="right" vertical="top" wrapText="1"/>
      <protection/>
    </xf>
    <xf numFmtId="0" fontId="3" fillId="0" borderId="0" xfId="109" applyFont="1" applyAlignment="1">
      <alignment vertical="top" wrapText="1"/>
      <protection/>
    </xf>
    <xf numFmtId="0" fontId="3" fillId="0" borderId="0" xfId="109" applyFont="1" applyAlignment="1">
      <alignment horizontal="left" vertical="top" wrapText="1" indent="1"/>
      <protection/>
    </xf>
    <xf numFmtId="0" fontId="3" fillId="0" borderId="0" xfId="109" applyFont="1" applyAlignment="1">
      <alignment vertical="top"/>
      <protection/>
    </xf>
    <xf numFmtId="0" fontId="3" fillId="0" borderId="0" xfId="109" applyFont="1" applyAlignment="1">
      <alignment horizontal="center" vertical="top" wrapText="1"/>
      <protection/>
    </xf>
    <xf numFmtId="0" fontId="3" fillId="0" borderId="0" xfId="109" applyFont="1" applyAlignment="1">
      <alignment horizontal="center" vertical="center" wrapText="1"/>
      <protection/>
    </xf>
    <xf numFmtId="0" fontId="3" fillId="0" borderId="1" xfId="109" applyFont="1" applyBorder="1" applyAlignment="1">
      <alignment horizontal="center" vertical="center" wrapText="1"/>
      <protection/>
    </xf>
    <xf numFmtId="0" fontId="3" fillId="0" borderId="1" xfId="109" applyFont="1" applyBorder="1" applyAlignment="1">
      <alignment horizontal="left" vertical="center" wrapText="1" indent="1"/>
      <protection/>
    </xf>
    <xf numFmtId="166" fontId="3" fillId="0" borderId="1" xfId="109" applyNumberFormat="1" applyFont="1" applyBorder="1" applyAlignment="1">
      <alignment horizontal="center" vertical="center" wrapText="1"/>
      <protection/>
    </xf>
    <xf numFmtId="0" fontId="7" fillId="0" borderId="1" xfId="109" applyFont="1" applyBorder="1" applyAlignment="1">
      <alignment horizontal="left" vertical="center" wrapText="1" indent="1"/>
      <protection/>
    </xf>
    <xf numFmtId="166" fontId="7" fillId="0" borderId="1" xfId="109" applyNumberFormat="1" applyFont="1" applyBorder="1" applyAlignment="1">
      <alignment horizontal="center" vertical="center" wrapText="1"/>
      <protection/>
    </xf>
    <xf numFmtId="0" fontId="3" fillId="0" borderId="0" xfId="0" applyFont="1" applyAlignment="1">
      <alignment horizontal="justify"/>
    </xf>
    <xf numFmtId="0" fontId="3" fillId="0" borderId="1" xfId="109" applyFont="1" applyFill="1" applyBorder="1" applyAlignment="1">
      <alignment horizontal="center" vertical="center" wrapText="1"/>
      <protection/>
    </xf>
    <xf numFmtId="0" fontId="3" fillId="0" borderId="1" xfId="109" applyFont="1" applyFill="1" applyBorder="1" applyAlignment="1">
      <alignment horizontal="left" vertical="center" wrapText="1" indent="1"/>
      <protection/>
    </xf>
    <xf numFmtId="166" fontId="3" fillId="0" borderId="1" xfId="109" applyNumberFormat="1" applyFont="1" applyFill="1" applyBorder="1" applyAlignment="1">
      <alignment horizontal="center" vertical="center" wrapText="1"/>
      <protection/>
    </xf>
    <xf numFmtId="0" fontId="3" fillId="0" borderId="1" xfId="109" applyFont="1" applyFill="1" applyBorder="1" applyAlignment="1">
      <alignment horizontal="left" vertical="top" wrapText="1"/>
      <protection/>
    </xf>
    <xf numFmtId="0" fontId="7" fillId="0" borderId="1" xfId="109" applyFont="1" applyFill="1" applyBorder="1" applyAlignment="1">
      <alignment horizontal="left" vertical="top" wrapText="1" indent="1"/>
      <protection/>
    </xf>
    <xf numFmtId="166" fontId="7" fillId="0" borderId="1" xfId="109" applyNumberFormat="1" applyFont="1" applyFill="1" applyBorder="1" applyAlignment="1">
      <alignment horizontal="center" vertical="top" wrapText="1"/>
      <protection/>
    </xf>
    <xf numFmtId="0" fontId="3" fillId="0" borderId="1" xfId="31" applyNumberFormat="1" applyFont="1" applyFill="1" applyBorder="1" applyAlignment="1">
      <alignment wrapText="1"/>
      <protection/>
    </xf>
    <xf numFmtId="0" fontId="3" fillId="0" borderId="1" xfId="31" applyNumberFormat="1" applyFont="1" applyFill="1" applyBorder="1" applyAlignment="1">
      <alignment vertical="center" wrapText="1"/>
      <protection/>
    </xf>
    <xf numFmtId="0" fontId="3" fillId="0" borderId="0" xfId="0" applyFont="1" applyAlignment="1">
      <alignment vertical="center" wrapText="1"/>
    </xf>
    <xf numFmtId="49" fontId="3" fillId="0" borderId="0" xfId="113" applyNumberFormat="1" applyFont="1" applyFill="1" applyBorder="1" applyAlignment="1">
      <alignment horizontal="center" vertical="center"/>
      <protection/>
    </xf>
    <xf numFmtId="0" fontId="3" fillId="0" borderId="0" xfId="113" applyFont="1" applyAlignment="1">
      <alignment vertical="center"/>
      <protection/>
    </xf>
    <xf numFmtId="0" fontId="3" fillId="0" borderId="0" xfId="113" applyFont="1" applyFill="1" applyBorder="1" applyAlignment="1">
      <alignment horizontal="left" vertical="center" wrapText="1"/>
      <protection/>
    </xf>
    <xf numFmtId="0" fontId="3" fillId="0" borderId="0" xfId="113" applyFont="1" applyFill="1" applyBorder="1" applyAlignment="1">
      <alignment horizontal="right" vertical="center"/>
      <protection/>
    </xf>
    <xf numFmtId="0" fontId="13" fillId="0" borderId="0" xfId="113" applyFont="1" applyFill="1">
      <alignment/>
      <protection/>
    </xf>
    <xf numFmtId="0" fontId="3" fillId="0" borderId="0" xfId="113" applyFont="1" applyAlignment="1">
      <alignment horizontal="center"/>
      <protection/>
    </xf>
    <xf numFmtId="0" fontId="3" fillId="0" borderId="0" xfId="113" applyFont="1" applyFill="1">
      <alignment/>
      <protection/>
    </xf>
    <xf numFmtId="0" fontId="7" fillId="0" borderId="0" xfId="113" applyFont="1" applyFill="1" applyBorder="1" applyAlignment="1">
      <alignment horizontal="center" vertical="center" wrapText="1"/>
      <protection/>
    </xf>
    <xf numFmtId="0" fontId="7" fillId="0" borderId="1" xfId="113" applyFont="1" applyFill="1" applyBorder="1" applyAlignment="1">
      <alignment horizontal="center" vertical="center"/>
      <protection/>
    </xf>
    <xf numFmtId="49" fontId="7" fillId="0" borderId="1" xfId="113" applyNumberFormat="1" applyFont="1" applyFill="1" applyBorder="1" applyAlignment="1">
      <alignment horizontal="center" vertical="center"/>
      <protection/>
    </xf>
    <xf numFmtId="0" fontId="7" fillId="0" borderId="1" xfId="113" applyFont="1" applyFill="1" applyBorder="1" applyAlignment="1">
      <alignment horizontal="justify" vertical="center" wrapText="1"/>
      <protection/>
    </xf>
    <xf numFmtId="167" fontId="7" fillId="0" borderId="1" xfId="113" applyNumberFormat="1" applyFont="1" applyFill="1" applyBorder="1" applyAlignment="1">
      <alignment horizontal="center" vertical="center"/>
      <protection/>
    </xf>
    <xf numFmtId="49" fontId="3" fillId="0" borderId="1" xfId="113" applyNumberFormat="1" applyFont="1" applyFill="1" applyBorder="1" applyAlignment="1">
      <alignment horizontal="center" vertical="center"/>
      <protection/>
    </xf>
    <xf numFmtId="0" fontId="3" fillId="0" borderId="1" xfId="113" applyFont="1" applyFill="1" applyBorder="1" applyAlignment="1">
      <alignment horizontal="justify" vertical="center" wrapText="1"/>
      <protection/>
    </xf>
    <xf numFmtId="167" fontId="3" fillId="0" borderId="1" xfId="113" applyNumberFormat="1" applyFont="1" applyFill="1" applyBorder="1" applyAlignment="1">
      <alignment horizontal="center" vertical="center"/>
      <protection/>
    </xf>
    <xf numFmtId="49" fontId="7" fillId="0" borderId="1" xfId="113" applyNumberFormat="1" applyFont="1" applyBorder="1" applyAlignment="1">
      <alignment horizontal="center" vertical="center"/>
      <protection/>
    </xf>
    <xf numFmtId="49" fontId="3" fillId="0" borderId="1" xfId="113" applyNumberFormat="1" applyFont="1" applyBorder="1" applyAlignment="1">
      <alignment horizontal="center" vertical="center"/>
      <protection/>
    </xf>
    <xf numFmtId="167" fontId="3" fillId="0" borderId="1" xfId="113" applyNumberFormat="1" applyFont="1" applyFill="1" applyBorder="1" applyAlignment="1">
      <alignment horizontal="center" vertical="center" wrapText="1"/>
      <protection/>
    </xf>
    <xf numFmtId="167" fontId="7" fillId="0" borderId="1" xfId="113" applyNumberFormat="1" applyFont="1" applyFill="1" applyBorder="1" applyAlignment="1">
      <alignment horizontal="center" vertical="center" wrapText="1"/>
      <protection/>
    </xf>
    <xf numFmtId="0" fontId="3" fillId="0" borderId="1" xfId="113" applyFont="1" applyBorder="1" applyAlignment="1">
      <alignment horizontal="center" vertical="center"/>
      <protection/>
    </xf>
    <xf numFmtId="0" fontId="7" fillId="0" borderId="1" xfId="113" applyFont="1" applyBorder="1" applyAlignment="1">
      <alignment horizontal="center" vertical="center"/>
      <protection/>
    </xf>
    <xf numFmtId="49" fontId="3" fillId="0" borderId="1" xfId="113" applyNumberFormat="1" applyFont="1" applyFill="1" applyBorder="1" applyAlignment="1">
      <alignment horizontal="center" vertical="center" wrapText="1"/>
      <protection/>
    </xf>
    <xf numFmtId="3" fontId="3" fillId="0" borderId="1" xfId="113" applyNumberFormat="1" applyFont="1" applyBorder="1" applyAlignment="1">
      <alignment horizontal="center" vertical="center" wrapText="1"/>
      <protection/>
    </xf>
    <xf numFmtId="3" fontId="7" fillId="0" borderId="1" xfId="113" applyNumberFormat="1" applyFont="1" applyBorder="1" applyAlignment="1">
      <alignment horizontal="center" vertical="center" wrapText="1"/>
      <protection/>
    </xf>
    <xf numFmtId="0" fontId="7" fillId="0" borderId="1" xfId="113" applyNumberFormat="1" applyFont="1" applyFill="1" applyBorder="1" applyAlignment="1" applyProtection="1">
      <alignment horizontal="center" vertical="center"/>
      <protection/>
    </xf>
    <xf numFmtId="0" fontId="7" fillId="0" borderId="1" xfId="113" applyNumberFormat="1" applyFont="1" applyFill="1" applyBorder="1" applyAlignment="1" applyProtection="1">
      <alignment horizontal="justify" vertical="center" wrapText="1"/>
      <protection/>
    </xf>
    <xf numFmtId="0" fontId="16" fillId="0" borderId="1" xfId="114" applyNumberFormat="1" applyFont="1" applyFill="1" applyBorder="1" applyAlignment="1" applyProtection="1">
      <alignment horizontal="center" vertical="center"/>
      <protection/>
    </xf>
    <xf numFmtId="0" fontId="16" fillId="0" borderId="1" xfId="114" applyNumberFormat="1" applyFont="1" applyFill="1" applyBorder="1" applyAlignment="1" applyProtection="1">
      <alignment horizontal="justify" vertical="center" wrapText="1"/>
      <protection/>
    </xf>
    <xf numFmtId="49" fontId="17" fillId="0" borderId="1" xfId="114" applyNumberFormat="1" applyFont="1" applyFill="1" applyBorder="1" applyAlignment="1">
      <alignment horizontal="center" vertical="center"/>
      <protection/>
    </xf>
    <xf numFmtId="0" fontId="17" fillId="0" borderId="1" xfId="114" applyNumberFormat="1" applyFont="1" applyFill="1" applyBorder="1" applyAlignment="1" applyProtection="1">
      <alignment horizontal="justify" vertical="center" wrapText="1"/>
      <protection/>
    </xf>
    <xf numFmtId="49" fontId="17" fillId="0" borderId="6" xfId="114" applyNumberFormat="1" applyFont="1" applyFill="1" applyBorder="1" applyAlignment="1">
      <alignment horizontal="center" vertical="center"/>
      <protection/>
    </xf>
    <xf numFmtId="0" fontId="17" fillId="0" borderId="6" xfId="114" applyNumberFormat="1" applyFont="1" applyFill="1" applyBorder="1" applyAlignment="1" applyProtection="1">
      <alignment horizontal="justify" vertical="center" wrapText="1"/>
      <protection/>
    </xf>
    <xf numFmtId="0" fontId="17" fillId="0" borderId="1" xfId="0" applyFont="1" applyBorder="1" applyAlignment="1">
      <alignment horizontal="center" vertical="center" wrapText="1"/>
    </xf>
    <xf numFmtId="0" fontId="18" fillId="0" borderId="1" xfId="0" applyFont="1" applyBorder="1" applyAlignment="1">
      <alignment horizontal="justify" vertical="center" wrapText="1"/>
    </xf>
    <xf numFmtId="167" fontId="3" fillId="0" borderId="7" xfId="113" applyNumberFormat="1" applyFont="1" applyFill="1" applyBorder="1" applyAlignment="1">
      <alignment horizontal="center" vertical="center"/>
      <protection/>
    </xf>
    <xf numFmtId="0" fontId="17" fillId="0" borderId="1" xfId="0" applyFont="1" applyBorder="1" applyAlignment="1">
      <alignment horizontal="justify" vertical="center" wrapText="1"/>
    </xf>
    <xf numFmtId="0" fontId="19" fillId="0" borderId="1" xfId="113" applyFont="1" applyBorder="1" applyAlignment="1">
      <alignment horizontal="center" vertical="center"/>
      <protection/>
    </xf>
    <xf numFmtId="49" fontId="17" fillId="0" borderId="1" xfId="114" applyNumberFormat="1" applyFont="1" applyFill="1" applyBorder="1" applyAlignment="1">
      <alignment horizontal="center" vertical="center" wrapText="1"/>
      <protection/>
    </xf>
    <xf numFmtId="0" fontId="17" fillId="0" borderId="1" xfId="114" applyNumberFormat="1" applyFont="1" applyFill="1" applyBorder="1" applyAlignment="1" applyProtection="1" quotePrefix="1">
      <alignment horizontal="justify" vertical="center" wrapText="1"/>
      <protection/>
    </xf>
    <xf numFmtId="0" fontId="3" fillId="0" borderId="1" xfId="113" applyNumberFormat="1" applyFont="1" applyFill="1" applyBorder="1" applyAlignment="1" applyProtection="1">
      <alignment horizontal="justify" vertical="center" wrapText="1"/>
      <protection/>
    </xf>
    <xf numFmtId="0" fontId="3" fillId="0" borderId="1" xfId="113" applyNumberFormat="1" applyFont="1" applyFill="1" applyBorder="1" applyAlignment="1" applyProtection="1">
      <alignment horizontal="center" vertical="center"/>
      <protection/>
    </xf>
    <xf numFmtId="167" fontId="16" fillId="0" borderId="1" xfId="114" applyNumberFormat="1" applyFont="1" applyFill="1" applyBorder="1" applyAlignment="1">
      <alignment horizontal="center" vertical="center"/>
      <protection/>
    </xf>
    <xf numFmtId="167" fontId="17" fillId="0" borderId="1" xfId="114" applyNumberFormat="1" applyFont="1" applyFill="1" applyBorder="1" applyAlignment="1">
      <alignment horizontal="center" vertical="center"/>
      <protection/>
    </xf>
    <xf numFmtId="0" fontId="14" fillId="0" borderId="0" xfId="113" applyFont="1" applyFill="1">
      <alignment/>
      <protection/>
    </xf>
    <xf numFmtId="0" fontId="14" fillId="0" borderId="0" xfId="113" applyFont="1">
      <alignment/>
      <protection/>
    </xf>
    <xf numFmtId="0" fontId="13" fillId="0" borderId="0" xfId="113" applyFont="1">
      <alignment/>
      <protection/>
    </xf>
    <xf numFmtId="0" fontId="16" fillId="0" borderId="1" xfId="53" applyFont="1" applyBorder="1" applyAlignment="1">
      <alignment horizontal="center" vertical="center"/>
      <protection/>
    </xf>
    <xf numFmtId="0" fontId="16" fillId="0" borderId="1" xfId="53" applyFont="1" applyBorder="1" applyAlignment="1">
      <alignment horizontal="justify" vertical="center" wrapText="1"/>
      <protection/>
    </xf>
    <xf numFmtId="167" fontId="16" fillId="0" borderId="1" xfId="53" applyNumberFormat="1" applyFont="1" applyBorder="1" applyAlignment="1">
      <alignment horizontal="center" vertical="center"/>
      <protection/>
    </xf>
    <xf numFmtId="0" fontId="17" fillId="0" borderId="1" xfId="53" applyFont="1" applyBorder="1" applyAlignment="1">
      <alignment horizontal="center" vertical="center"/>
      <protection/>
    </xf>
    <xf numFmtId="0" fontId="17" fillId="0" borderId="1" xfId="53" applyFont="1" applyBorder="1" applyAlignment="1">
      <alignment horizontal="justify" vertical="center" wrapText="1"/>
      <protection/>
    </xf>
    <xf numFmtId="167" fontId="17" fillId="0" borderId="1" xfId="53" applyNumberFormat="1" applyFont="1" applyBorder="1" applyAlignment="1">
      <alignment horizontal="center" vertical="center"/>
      <protection/>
    </xf>
    <xf numFmtId="0" fontId="7" fillId="0" borderId="1" xfId="113" applyFont="1" applyFill="1" applyBorder="1" applyAlignment="1">
      <alignment horizontal="left" vertical="center" wrapText="1"/>
      <protection/>
    </xf>
    <xf numFmtId="167" fontId="3" fillId="0" borderId="0" xfId="113" applyNumberFormat="1" applyFont="1" applyFill="1">
      <alignment/>
      <protection/>
    </xf>
    <xf numFmtId="49" fontId="7" fillId="0" borderId="1" xfId="0" applyNumberFormat="1" applyFont="1" applyBorder="1" applyAlignment="1">
      <alignment horizontal="center"/>
    </xf>
    <xf numFmtId="0" fontId="3" fillId="0" borderId="0" xfId="0" applyFont="1" applyAlignment="1">
      <alignment horizontal="right"/>
    </xf>
    <xf numFmtId="0" fontId="7" fillId="0" borderId="0" xfId="0" applyFont="1" applyAlignment="1">
      <alignment horizontal="center" wrapText="1"/>
    </xf>
    <xf numFmtId="49" fontId="3" fillId="0" borderId="6"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113" applyFont="1" applyFill="1" applyBorder="1" applyAlignment="1">
      <alignment horizontal="right" vertical="center"/>
      <protection/>
    </xf>
    <xf numFmtId="0" fontId="7" fillId="0" borderId="0" xfId="113" applyFont="1" applyFill="1" applyBorder="1" applyAlignment="1">
      <alignment horizontal="center" vertical="center" wrapText="1"/>
      <protection/>
    </xf>
    <xf numFmtId="49" fontId="7" fillId="0" borderId="1" xfId="113" applyNumberFormat="1" applyFont="1" applyFill="1" applyBorder="1" applyAlignment="1">
      <alignment horizontal="center" vertical="center" wrapText="1"/>
      <protection/>
    </xf>
    <xf numFmtId="0" fontId="7" fillId="0" borderId="1" xfId="113" applyFont="1" applyFill="1" applyBorder="1" applyAlignment="1">
      <alignment horizontal="center" vertical="center" wrapText="1"/>
      <protection/>
    </xf>
    <xf numFmtId="0" fontId="5" fillId="0" borderId="3" xfId="31" applyNumberFormat="1" applyFont="1" applyFill="1" applyBorder="1" applyAlignment="1">
      <alignment horizontal="center" vertical="center" wrapText="1"/>
      <protection/>
    </xf>
    <xf numFmtId="0" fontId="5" fillId="0" borderId="11" xfId="31" applyNumberFormat="1" applyFont="1" applyFill="1" applyBorder="1" applyAlignment="1">
      <alignment horizontal="center" vertical="center" wrapText="1"/>
      <protection/>
    </xf>
    <xf numFmtId="0" fontId="5" fillId="0" borderId="4" xfId="31" applyNumberFormat="1" applyFont="1" applyFill="1" applyBorder="1" applyAlignment="1">
      <alignment horizontal="center" vertical="center" wrapText="1"/>
      <protection/>
    </xf>
    <xf numFmtId="0" fontId="5" fillId="0" borderId="0" xfId="31" applyNumberFormat="1" applyFont="1" applyFill="1" applyAlignment="1">
      <alignment horizontal="right" vertical="center" wrapText="1"/>
      <protection/>
    </xf>
    <xf numFmtId="0" fontId="8" fillId="0" borderId="12" xfId="31" applyNumberFormat="1" applyFont="1" applyFill="1" applyBorder="1" applyAlignment="1">
      <alignment horizontal="center" vertical="center" wrapText="1"/>
      <protection/>
    </xf>
    <xf numFmtId="0" fontId="5" fillId="0" borderId="13" xfId="31" applyNumberFormat="1" applyFont="1" applyFill="1" applyBorder="1" applyAlignment="1">
      <alignment horizontal="center" vertical="center" wrapText="1"/>
      <protection/>
    </xf>
    <xf numFmtId="0" fontId="5" fillId="0" borderId="14" xfId="31" applyNumberFormat="1" applyFont="1" applyFill="1" applyBorder="1" applyAlignment="1">
      <alignment horizontal="center" vertical="center" wrapText="1"/>
      <protection/>
    </xf>
    <xf numFmtId="0" fontId="5" fillId="0" borderId="15" xfId="31" applyNumberFormat="1" applyFont="1" applyFill="1" applyBorder="1" applyAlignment="1">
      <alignment horizontal="center" vertical="center" wrapText="1"/>
      <protection/>
    </xf>
    <xf numFmtId="0" fontId="5" fillId="0" borderId="0" xfId="31" applyNumberFormat="1" applyFont="1" applyFill="1" applyAlignment="1">
      <alignment horizontal="right" vertical="top" wrapText="1"/>
      <protection/>
    </xf>
    <xf numFmtId="0" fontId="8" fillId="0" borderId="0" xfId="31" applyNumberFormat="1" applyFont="1" applyFill="1" applyAlignment="1">
      <alignment horizontal="center" vertical="center" wrapText="1"/>
      <protection/>
    </xf>
    <xf numFmtId="0" fontId="5" fillId="0" borderId="1" xfId="31" applyNumberFormat="1" applyFont="1" applyFill="1" applyBorder="1" applyAlignment="1">
      <alignment horizontal="center" vertical="center" wrapText="1"/>
      <protection/>
    </xf>
    <xf numFmtId="0" fontId="3" fillId="0" borderId="1" xfId="31" applyNumberFormat="1" applyFont="1" applyFill="1" applyBorder="1" applyAlignment="1">
      <alignment vertical="center" wrapText="1"/>
      <protection/>
    </xf>
    <xf numFmtId="0" fontId="3" fillId="0" borderId="1" xfId="31" applyNumberFormat="1" applyFont="1" applyFill="1" applyBorder="1" applyAlignment="1">
      <alignment horizontal="center" vertical="center" wrapText="1"/>
      <protection/>
    </xf>
    <xf numFmtId="0" fontId="5" fillId="0" borderId="2" xfId="31" applyNumberFormat="1" applyFont="1" applyFill="1" applyBorder="1" applyAlignment="1">
      <alignment horizontal="center" vertical="center" wrapText="1"/>
      <protection/>
    </xf>
    <xf numFmtId="0" fontId="5" fillId="0" borderId="0" xfId="32" applyNumberFormat="1" applyFont="1" applyFill="1" applyAlignment="1">
      <alignment horizontal="right" vertical="center" wrapText="1"/>
      <protection/>
    </xf>
    <xf numFmtId="0" fontId="8" fillId="0" borderId="0" xfId="32" applyNumberFormat="1" applyFont="1" applyFill="1" applyAlignment="1">
      <alignment horizontal="center" vertical="center" wrapText="1"/>
      <protection/>
    </xf>
    <xf numFmtId="0" fontId="5" fillId="0" borderId="2" xfId="32" applyNumberFormat="1" applyFont="1" applyFill="1" applyBorder="1" applyAlignment="1">
      <alignment horizontal="center" vertical="center" wrapText="1"/>
      <protection/>
    </xf>
    <xf numFmtId="166" fontId="5" fillId="0" borderId="2" xfId="32" applyNumberFormat="1" applyFont="1" applyFill="1" applyBorder="1" applyAlignment="1">
      <alignment horizontal="center" vertical="center" wrapText="1"/>
      <protection/>
    </xf>
    <xf numFmtId="0" fontId="3" fillId="0" borderId="1" xfId="103" applyFont="1" applyBorder="1" applyAlignment="1">
      <alignment horizontal="center" vertical="center" wrapText="1"/>
      <protection/>
    </xf>
    <xf numFmtId="0" fontId="3" fillId="0" borderId="0" xfId="0" applyFont="1" applyFill="1" applyAlignment="1">
      <alignment horizontal="right"/>
    </xf>
    <xf numFmtId="0" fontId="7" fillId="0" borderId="0" xfId="103" applyFont="1" applyAlignment="1">
      <alignment horizontal="center"/>
      <protection/>
    </xf>
    <xf numFmtId="0" fontId="3" fillId="0" borderId="1" xfId="103" applyFont="1" applyBorder="1" applyAlignment="1">
      <alignment horizontal="left" vertical="center" wrapText="1"/>
      <protection/>
    </xf>
    <xf numFmtId="0" fontId="3" fillId="0" borderId="0" xfId="0" applyFont="1" applyFill="1" applyAlignment="1">
      <alignment horizontal="left" vertical="top" wrapText="1"/>
    </xf>
    <xf numFmtId="0" fontId="3" fillId="0" borderId="0" xfId="109" applyFont="1" applyAlignment="1">
      <alignment horizontal="center" vertical="top" wrapText="1"/>
      <protection/>
    </xf>
    <xf numFmtId="0" fontId="3" fillId="0" borderId="0" xfId="109" applyFont="1" applyAlignment="1">
      <alignment horizontal="left" vertical="top" wrapText="1"/>
      <protection/>
    </xf>
    <xf numFmtId="0" fontId="3" fillId="0" borderId="6" xfId="109" applyFont="1" applyBorder="1" applyAlignment="1">
      <alignment horizontal="center" vertical="center" wrapText="1"/>
      <protection/>
    </xf>
    <xf numFmtId="0" fontId="3" fillId="0" borderId="5" xfId="109" applyFont="1" applyBorder="1" applyAlignment="1">
      <alignment horizontal="center" vertical="center" wrapText="1"/>
      <protection/>
    </xf>
    <xf numFmtId="0" fontId="3" fillId="0" borderId="1" xfId="109" applyFont="1" applyBorder="1" applyAlignment="1">
      <alignment horizontal="center" vertical="center" wrapText="1"/>
      <protection/>
    </xf>
    <xf numFmtId="0" fontId="3" fillId="0" borderId="0" xfId="109" applyFont="1" applyAlignment="1">
      <alignment horizontal="right" vertical="top" wrapText="1"/>
      <protection/>
    </xf>
    <xf numFmtId="168" fontId="3" fillId="0" borderId="0" xfId="110" applyNumberFormat="1" applyFont="1" applyAlignment="1">
      <alignment horizontal="right" vertical="top" wrapText="1"/>
    </xf>
    <xf numFmtId="0" fontId="7" fillId="0" borderId="0" xfId="109" applyFont="1" applyAlignment="1">
      <alignment horizontal="center" vertical="top" wrapText="1"/>
      <protection/>
    </xf>
    <xf numFmtId="0" fontId="11" fillId="0" borderId="0" xfId="109" applyFont="1" applyAlignment="1">
      <alignment horizontal="left" vertical="center" wrapText="1"/>
      <protection/>
    </xf>
  </cellXfs>
  <cellStyles count="101">
    <cellStyle name="Normal" xfId="0"/>
    <cellStyle name="Percent" xfId="15"/>
    <cellStyle name="Currency" xfId="16"/>
    <cellStyle name="Currency [0]" xfId="17"/>
    <cellStyle name="Comma" xfId="18"/>
    <cellStyle name="Comma [0]" xfId="19"/>
    <cellStyle name="Обычный 2" xfId="20"/>
    <cellStyle name="Обычный 3" xfId="21"/>
    <cellStyle name="Обычный 4" xfId="22"/>
    <cellStyle name="Финансовый 2" xfId="23"/>
    <cellStyle name="Обычный 5" xfId="24"/>
    <cellStyle name="Обычный 6" xfId="25"/>
    <cellStyle name="Обычный 7" xfId="26"/>
    <cellStyle name="Обычный 8" xfId="27"/>
    <cellStyle name="Обычный 4 2" xfId="28"/>
    <cellStyle name="Обычный 9" xfId="29"/>
    <cellStyle name="Обычный 2 2" xfId="30"/>
    <cellStyle name="Обычный 10" xfId="31"/>
    <cellStyle name="Обычный 11" xfId="32"/>
    <cellStyle name="Обычный 2 3" xfId="33"/>
    <cellStyle name="Обычный 2 4" xfId="34"/>
    <cellStyle name="Обычный 2 5" xfId="35"/>
    <cellStyle name="Обычный 2 6" xfId="36"/>
    <cellStyle name="Обычный 2 7" xfId="37"/>
    <cellStyle name="Обычный 4 2 2" xfId="38"/>
    <cellStyle name="Обычный 4 2 2 2" xfId="39"/>
    <cellStyle name="Обычный 2 8" xfId="40"/>
    <cellStyle name="Обычный 13 2" xfId="41"/>
    <cellStyle name="Обычный 4 2 3 2" xfId="42"/>
    <cellStyle name="Обычный 12" xfId="43"/>
    <cellStyle name="Обычный 13" xfId="44"/>
    <cellStyle name="Обычный 2 8 2" xfId="45"/>
    <cellStyle name="Обычный 2 8 3" xfId="46"/>
    <cellStyle name="Обычный 2 8 4" xfId="47"/>
    <cellStyle name="Обычный 2 8 5" xfId="48"/>
    <cellStyle name="Обычный 4 2 3" xfId="49"/>
    <cellStyle name="Обычный 2 8 7" xfId="50"/>
    <cellStyle name="Обычный 2 8 2 2" xfId="51"/>
    <cellStyle name="Обычный 2 8 7 2" xfId="52"/>
    <cellStyle name="Обычный 15" xfId="53"/>
    <cellStyle name="Обычный 11 2" xfId="54"/>
    <cellStyle name="Обычный 13 2 2" xfId="55"/>
    <cellStyle name="Обычный 13 2 3" xfId="56"/>
    <cellStyle name="Обычный 13 3" xfId="57"/>
    <cellStyle name="Обычный 14" xfId="58"/>
    <cellStyle name="Обычный 2 2 2" xfId="59"/>
    <cellStyle name="Обычный 2 3 2" xfId="60"/>
    <cellStyle name="Обычный 2 4 2" xfId="61"/>
    <cellStyle name="Обычный 2 5 2" xfId="62"/>
    <cellStyle name="Обычный 2 6 2" xfId="63"/>
    <cellStyle name="Обычный 2 7 2" xfId="64"/>
    <cellStyle name="Обычный 2 8 3 2" xfId="65"/>
    <cellStyle name="Обычный 2 8 4 2" xfId="66"/>
    <cellStyle name="Обычный 2 8 5 2" xfId="67"/>
    <cellStyle name="Обычный 2 8 6" xfId="68"/>
    <cellStyle name="Обычный 2 8 8" xfId="69"/>
    <cellStyle name="Обычный 2 9" xfId="70"/>
    <cellStyle name="Обычный 3 2" xfId="71"/>
    <cellStyle name="Обычный 4 2 2 2 2" xfId="72"/>
    <cellStyle name="Обычный 4 2 2 3" xfId="73"/>
    <cellStyle name="Обычный 4 2 3 2 2" xfId="74"/>
    <cellStyle name="Обычный 4 2 3 2 3" xfId="75"/>
    <cellStyle name="Обычный 4 2 3 3" xfId="76"/>
    <cellStyle name="Обычный 4 2 4" xfId="77"/>
    <cellStyle name="Обычный 4 3" xfId="78"/>
    <cellStyle name="Финансовый 2 2" xfId="79"/>
    <cellStyle name="Обычный 2 8 2 3" xfId="80"/>
    <cellStyle name="Обычный 2 8 7 3" xfId="81"/>
    <cellStyle name="Обычный 13 2 2 2" xfId="82"/>
    <cellStyle name="Обычный 13 2 4" xfId="83"/>
    <cellStyle name="Обычный 13 4" xfId="84"/>
    <cellStyle name="Обычный 2 2 3" xfId="85"/>
    <cellStyle name="Обычный 2 3 3" xfId="86"/>
    <cellStyle name="Обычный 2 4 3" xfId="87"/>
    <cellStyle name="Обычный 2 5 3" xfId="88"/>
    <cellStyle name="Обычный 2 6 3" xfId="89"/>
    <cellStyle name="Обычный 2 7 3" xfId="90"/>
    <cellStyle name="Обычный 2 8 3 3" xfId="91"/>
    <cellStyle name="Обычный 2 8 4 3" xfId="92"/>
    <cellStyle name="Обычный 2 8 5 3" xfId="93"/>
    <cellStyle name="Обычный 2 8 6 2" xfId="94"/>
    <cellStyle name="Обычный 2 8 9" xfId="95"/>
    <cellStyle name="Обычный 4 2 2 2 3" xfId="96"/>
    <cellStyle name="Обычный 4 2 2 4" xfId="97"/>
    <cellStyle name="Обычный 4 2 3 2 2 2" xfId="98"/>
    <cellStyle name="Обычный 4 2 3 2 4" xfId="99"/>
    <cellStyle name="Обычный 4 2 3 4" xfId="100"/>
    <cellStyle name="Обычный 4 2 5" xfId="101"/>
    <cellStyle name="Обычный 4 4" xfId="102"/>
    <cellStyle name="Обычный 13 2 5" xfId="103"/>
    <cellStyle name="Обычный 4 2 3 2 5" xfId="104"/>
    <cellStyle name="Обычный 2 8 2 3 2" xfId="105"/>
    <cellStyle name="Обычный 2 8 7 3 2" xfId="106"/>
    <cellStyle name="Обычный 2 8 2 3 3" xfId="107"/>
    <cellStyle name="Обычный 2 8 7 3 3" xfId="108"/>
    <cellStyle name="Обычный_приложение_Программа госзаимствований 2003" xfId="109"/>
    <cellStyle name="Финансовый [0] 2" xfId="110"/>
    <cellStyle name="Обычный 2 8 2 3 3 2" xfId="111"/>
    <cellStyle name="Обычный 2 8 7 3 3 2" xfId="112"/>
    <cellStyle name="Обычный 2 8 2 3 3 3" xfId="113"/>
    <cellStyle name="Обычный 2 8 7 3 3 3"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29"/>
  <sheetViews>
    <sheetView workbookViewId="0" topLeftCell="A1">
      <selection activeCell="A14" sqref="A14:XFD14"/>
    </sheetView>
  </sheetViews>
  <sheetFormatPr defaultColWidth="9.125" defaultRowHeight="12.75"/>
  <cols>
    <col min="1" max="1" width="30.625" style="52" customWidth="1"/>
    <col min="2" max="2" width="66.25390625" style="52" customWidth="1"/>
    <col min="3" max="3" width="11.75390625" style="157" customWidth="1"/>
    <col min="4" max="5" width="11.75390625" style="52" customWidth="1"/>
    <col min="6" max="16384" width="9.125" style="52" customWidth="1"/>
  </cols>
  <sheetData>
    <row r="1" spans="1:5" ht="12.75">
      <c r="A1" s="256" t="s">
        <v>411</v>
      </c>
      <c r="B1" s="256"/>
      <c r="C1" s="256"/>
      <c r="D1" s="256"/>
      <c r="E1" s="256"/>
    </row>
    <row r="2" spans="1:5" ht="12.75">
      <c r="A2" s="256" t="s">
        <v>718</v>
      </c>
      <c r="B2" s="256"/>
      <c r="C2" s="256"/>
      <c r="D2" s="256"/>
      <c r="E2" s="256"/>
    </row>
    <row r="3" spans="1:5" ht="12.75">
      <c r="A3" s="256" t="s">
        <v>719</v>
      </c>
      <c r="B3" s="256"/>
      <c r="C3" s="256"/>
      <c r="D3" s="256"/>
      <c r="E3" s="256"/>
    </row>
    <row r="5" spans="1:5" ht="16.9" customHeight="1">
      <c r="A5" s="257" t="s">
        <v>412</v>
      </c>
      <c r="B5" s="257"/>
      <c r="C5" s="257"/>
      <c r="D5" s="257"/>
      <c r="E5" s="257"/>
    </row>
    <row r="6" spans="1:5" ht="16.9" customHeight="1">
      <c r="A6" s="257" t="s">
        <v>388</v>
      </c>
      <c r="B6" s="257"/>
      <c r="C6" s="257"/>
      <c r="D6" s="257"/>
      <c r="E6" s="257"/>
    </row>
    <row r="8" spans="1:5" ht="18.75" customHeight="1">
      <c r="A8" s="258" t="s">
        <v>413</v>
      </c>
      <c r="B8" s="261" t="s">
        <v>23</v>
      </c>
      <c r="C8" s="264" t="s">
        <v>97</v>
      </c>
      <c r="D8" s="265"/>
      <c r="E8" s="266"/>
    </row>
    <row r="9" spans="1:5" ht="18.75" customHeight="1">
      <c r="A9" s="259"/>
      <c r="B9" s="262"/>
      <c r="C9" s="267" t="s">
        <v>98</v>
      </c>
      <c r="D9" s="267" t="s">
        <v>100</v>
      </c>
      <c r="E9" s="267"/>
    </row>
    <row r="10" spans="1:5" ht="15" customHeight="1">
      <c r="A10" s="260"/>
      <c r="B10" s="263"/>
      <c r="C10" s="267"/>
      <c r="D10" s="144" t="s">
        <v>99</v>
      </c>
      <c r="E10" s="144" t="s">
        <v>119</v>
      </c>
    </row>
    <row r="11" spans="1:5" ht="12.75">
      <c r="A11" s="145" t="s">
        <v>5</v>
      </c>
      <c r="B11" s="146">
        <v>2</v>
      </c>
      <c r="C11" s="146">
        <v>3</v>
      </c>
      <c r="D11" s="147">
        <v>4</v>
      </c>
      <c r="E11" s="147">
        <v>5</v>
      </c>
    </row>
    <row r="12" spans="1:5" ht="39.6" customHeight="1">
      <c r="A12" s="148" t="s">
        <v>414</v>
      </c>
      <c r="B12" s="149" t="s">
        <v>415</v>
      </c>
      <c r="C12" s="150">
        <f>C16+C13</f>
        <v>4000</v>
      </c>
      <c r="D12" s="150">
        <f aca="true" t="shared" si="0" ref="D12:E12">D16+D13</f>
        <v>-7000</v>
      </c>
      <c r="E12" s="150">
        <f t="shared" si="0"/>
        <v>-7000</v>
      </c>
    </row>
    <row r="13" spans="1:5" ht="30.75" customHeight="1">
      <c r="A13" s="151" t="s">
        <v>416</v>
      </c>
      <c r="B13" s="152" t="s">
        <v>417</v>
      </c>
      <c r="C13" s="153">
        <f>C14+C15</f>
        <v>43098</v>
      </c>
      <c r="D13" s="153">
        <f aca="true" t="shared" si="1" ref="D13:E13">D14+D15</f>
        <v>28039</v>
      </c>
      <c r="E13" s="153">
        <f t="shared" si="1"/>
        <v>27123</v>
      </c>
    </row>
    <row r="14" spans="1:5" ht="47.25">
      <c r="A14" s="151" t="s">
        <v>462</v>
      </c>
      <c r="B14" s="152" t="s">
        <v>418</v>
      </c>
      <c r="C14" s="153">
        <v>14000</v>
      </c>
      <c r="D14" s="153">
        <v>0</v>
      </c>
      <c r="E14" s="153">
        <v>0</v>
      </c>
    </row>
    <row r="15" spans="1:5" ht="35.45" customHeight="1">
      <c r="A15" s="151" t="s">
        <v>466</v>
      </c>
      <c r="B15" s="152" t="s">
        <v>463</v>
      </c>
      <c r="C15" s="153">
        <v>29098</v>
      </c>
      <c r="D15" s="153">
        <v>28039</v>
      </c>
      <c r="E15" s="153">
        <v>27123</v>
      </c>
    </row>
    <row r="16" spans="1:5" ht="47.25">
      <c r="A16" s="151" t="s">
        <v>419</v>
      </c>
      <c r="B16" s="152" t="s">
        <v>420</v>
      </c>
      <c r="C16" s="153">
        <f>C17+C18</f>
        <v>-39098</v>
      </c>
      <c r="D16" s="153">
        <f aca="true" t="shared" si="2" ref="D16:E16">D17+D18</f>
        <v>-35039</v>
      </c>
      <c r="E16" s="153">
        <f t="shared" si="2"/>
        <v>-34123</v>
      </c>
    </row>
    <row r="17" spans="1:5" ht="47.25">
      <c r="A17" s="151" t="s">
        <v>464</v>
      </c>
      <c r="B17" s="152" t="s">
        <v>421</v>
      </c>
      <c r="C17" s="154">
        <v>-10000</v>
      </c>
      <c r="D17" s="153">
        <v>-7000</v>
      </c>
      <c r="E17" s="153">
        <v>-7000</v>
      </c>
    </row>
    <row r="18" spans="1:5" ht="47.25">
      <c r="A18" s="151" t="s">
        <v>467</v>
      </c>
      <c r="B18" s="152" t="s">
        <v>465</v>
      </c>
      <c r="C18" s="153">
        <v>-29098</v>
      </c>
      <c r="D18" s="153">
        <v>-28039</v>
      </c>
      <c r="E18" s="153">
        <v>-27123</v>
      </c>
    </row>
    <row r="19" spans="1:5" ht="31.5">
      <c r="A19" s="148" t="s">
        <v>422</v>
      </c>
      <c r="B19" s="149" t="s">
        <v>423</v>
      </c>
      <c r="C19" s="150">
        <f>C20+C23</f>
        <v>21608.900000000023</v>
      </c>
      <c r="D19" s="150">
        <f aca="true" t="shared" si="3" ref="D19:E19">D20+D23</f>
        <v>0</v>
      </c>
      <c r="E19" s="150">
        <f t="shared" si="3"/>
        <v>0</v>
      </c>
    </row>
    <row r="20" spans="1:5" ht="20.45" customHeight="1">
      <c r="A20" s="151" t="s">
        <v>424</v>
      </c>
      <c r="B20" s="152" t="s">
        <v>425</v>
      </c>
      <c r="C20" s="153">
        <f aca="true" t="shared" si="4" ref="C20:E21">C21</f>
        <v>-840446.5</v>
      </c>
      <c r="D20" s="153">
        <f t="shared" si="4"/>
        <v>-650570.9</v>
      </c>
      <c r="E20" s="153">
        <f t="shared" si="4"/>
        <v>-639721.2</v>
      </c>
    </row>
    <row r="21" spans="1:5" ht="22.15" customHeight="1">
      <c r="A21" s="151" t="s">
        <v>426</v>
      </c>
      <c r="B21" s="152" t="s">
        <v>427</v>
      </c>
      <c r="C21" s="153">
        <f t="shared" si="4"/>
        <v>-840446.5</v>
      </c>
      <c r="D21" s="153">
        <f t="shared" si="4"/>
        <v>-650570.9</v>
      </c>
      <c r="E21" s="153">
        <f t="shared" si="4"/>
        <v>-639721.2</v>
      </c>
    </row>
    <row r="22" spans="1:5" ht="31.5">
      <c r="A22" s="151" t="s">
        <v>428</v>
      </c>
      <c r="B22" s="152" t="s">
        <v>429</v>
      </c>
      <c r="C22" s="153">
        <f>-(14000+797348.5+29098)</f>
        <v>-840446.5</v>
      </c>
      <c r="D22" s="144">
        <f>-(622531.9+28039)</f>
        <v>-650570.9</v>
      </c>
      <c r="E22" s="144">
        <f>-(612598.2+27123)</f>
        <v>-639721.2</v>
      </c>
    </row>
    <row r="23" spans="1:5" ht="20.45" customHeight="1">
      <c r="A23" s="151" t="s">
        <v>430</v>
      </c>
      <c r="B23" s="152" t="s">
        <v>431</v>
      </c>
      <c r="C23" s="153">
        <f aca="true" t="shared" si="5" ref="C23:E24">C24</f>
        <v>862055.4</v>
      </c>
      <c r="D23" s="153">
        <f t="shared" si="5"/>
        <v>650570.9</v>
      </c>
      <c r="E23" s="153">
        <f t="shared" si="5"/>
        <v>639721.2</v>
      </c>
    </row>
    <row r="24" spans="1:5" ht="24" customHeight="1">
      <c r="A24" s="151" t="s">
        <v>432</v>
      </c>
      <c r="B24" s="152" t="s">
        <v>433</v>
      </c>
      <c r="C24" s="153">
        <f t="shared" si="5"/>
        <v>862055.4</v>
      </c>
      <c r="D24" s="153">
        <f t="shared" si="5"/>
        <v>650570.9</v>
      </c>
      <c r="E24" s="153">
        <f t="shared" si="5"/>
        <v>639721.2</v>
      </c>
    </row>
    <row r="25" spans="1:5" ht="35.45" customHeight="1">
      <c r="A25" s="151" t="s">
        <v>434</v>
      </c>
      <c r="B25" s="152" t="s">
        <v>435</v>
      </c>
      <c r="C25" s="153">
        <f>822957.4+10000+29098</f>
        <v>862055.4</v>
      </c>
      <c r="D25" s="144">
        <f>615531.9+7000+28039</f>
        <v>650570.9</v>
      </c>
      <c r="E25" s="144">
        <f>605598.2+7000+27123</f>
        <v>639721.2</v>
      </c>
    </row>
    <row r="26" spans="1:5" ht="24.6" customHeight="1">
      <c r="A26" s="255" t="s">
        <v>436</v>
      </c>
      <c r="B26" s="255"/>
      <c r="C26" s="150">
        <f>C19+C12</f>
        <v>25608.900000000023</v>
      </c>
      <c r="D26" s="150">
        <f aca="true" t="shared" si="6" ref="D26:E26">D19+D12</f>
        <v>-7000</v>
      </c>
      <c r="E26" s="150">
        <f t="shared" si="6"/>
        <v>-7000</v>
      </c>
    </row>
    <row r="28" spans="1:2" ht="12.75">
      <c r="A28" s="155"/>
      <c r="B28" s="156"/>
    </row>
    <row r="29" ht="12.75">
      <c r="B29" s="158"/>
    </row>
  </sheetData>
  <mergeCells count="11">
    <mergeCell ref="A26:B26"/>
    <mergeCell ref="A1:E1"/>
    <mergeCell ref="A2:E2"/>
    <mergeCell ref="A3:E3"/>
    <mergeCell ref="A5:E5"/>
    <mergeCell ref="A6:E6"/>
    <mergeCell ref="A8:A10"/>
    <mergeCell ref="B8:B10"/>
    <mergeCell ref="C8:E8"/>
    <mergeCell ref="C9:C10"/>
    <mergeCell ref="D9:E9"/>
  </mergeCells>
  <printOptions/>
  <pageMargins left="0.7874015748031497" right="0.3937007874015748" top="0.3937007874015748" bottom="0.3937007874015748" header="0.5118110236220472" footer="0.5118110236220472"/>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J136"/>
  <sheetViews>
    <sheetView zoomScale="75" zoomScaleNormal="75" workbookViewId="0" topLeftCell="A124">
      <selection activeCell="A118" sqref="A118:XFD118"/>
    </sheetView>
  </sheetViews>
  <sheetFormatPr defaultColWidth="9.125" defaultRowHeight="12.75"/>
  <cols>
    <col min="1" max="1" width="31.75390625" style="206" bestFit="1" customWidth="1"/>
    <col min="2" max="2" width="58.75390625" style="202" customWidth="1"/>
    <col min="3" max="5" width="12.375" style="207" customWidth="1"/>
    <col min="6" max="8" width="9.25390625" style="205" bestFit="1" customWidth="1"/>
    <col min="9" max="10" width="9.125" style="205" customWidth="1"/>
    <col min="11" max="16384" width="9.125" style="246" customWidth="1"/>
  </cols>
  <sheetData>
    <row r="1" spans="1:5" ht="12.75">
      <c r="A1" s="201"/>
      <c r="C1" s="203"/>
      <c r="D1" s="203"/>
      <c r="E1" s="204" t="s">
        <v>473</v>
      </c>
    </row>
    <row r="2" spans="1:5" ht="12.75">
      <c r="A2" s="268" t="s">
        <v>720</v>
      </c>
      <c r="B2" s="268"/>
      <c r="C2" s="268"/>
      <c r="D2" s="268"/>
      <c r="E2" s="268"/>
    </row>
    <row r="3" spans="2:5" ht="12.75">
      <c r="B3" s="268" t="s">
        <v>721</v>
      </c>
      <c r="C3" s="268"/>
      <c r="D3" s="268"/>
      <c r="E3" s="268"/>
    </row>
    <row r="4" spans="1:2" ht="12.75">
      <c r="A4" s="201"/>
      <c r="B4" s="203"/>
    </row>
    <row r="5" spans="1:5" ht="52.5" customHeight="1">
      <c r="A5" s="269" t="s">
        <v>474</v>
      </c>
      <c r="B5" s="269"/>
      <c r="C5" s="269"/>
      <c r="D5" s="269"/>
      <c r="E5" s="269"/>
    </row>
    <row r="6" spans="1:2" ht="12.75">
      <c r="A6" s="208"/>
      <c r="B6" s="208"/>
    </row>
    <row r="7" spans="1:5" ht="12.75">
      <c r="A7" s="270" t="s">
        <v>475</v>
      </c>
      <c r="B7" s="271" t="s">
        <v>476</v>
      </c>
      <c r="C7" s="271" t="s">
        <v>477</v>
      </c>
      <c r="D7" s="271"/>
      <c r="E7" s="271"/>
    </row>
    <row r="8" spans="1:5" ht="12.75">
      <c r="A8" s="270"/>
      <c r="B8" s="271"/>
      <c r="C8" s="209" t="s">
        <v>98</v>
      </c>
      <c r="D8" s="209" t="s">
        <v>99</v>
      </c>
      <c r="E8" s="209" t="s">
        <v>119</v>
      </c>
    </row>
    <row r="9" spans="1:5" ht="12.75">
      <c r="A9" s="210" t="s">
        <v>478</v>
      </c>
      <c r="B9" s="211" t="s">
        <v>479</v>
      </c>
      <c r="C9" s="212">
        <f>C10+C20+C25+C33+C38+C52+C62+C69+C58+C15</f>
        <v>348696.4</v>
      </c>
      <c r="D9" s="212">
        <f>D10+D20+D25+D33+D38+D52+D62+D69+D58+D15</f>
        <v>336476.19999999995</v>
      </c>
      <c r="E9" s="212">
        <f>E10+E20+E25+E33+E38+E52+E62+E69+E58+E15</f>
        <v>325482.19999999995</v>
      </c>
    </row>
    <row r="10" spans="1:5" ht="12.75">
      <c r="A10" s="210" t="s">
        <v>480</v>
      </c>
      <c r="B10" s="211" t="s">
        <v>481</v>
      </c>
      <c r="C10" s="212">
        <f aca="true" t="shared" si="0" ref="C10:D10">C11</f>
        <v>194122.7</v>
      </c>
      <c r="D10" s="212">
        <f t="shared" si="0"/>
        <v>178419.8</v>
      </c>
      <c r="E10" s="212">
        <f>E11</f>
        <v>161038.09999999998</v>
      </c>
    </row>
    <row r="11" spans="1:5" ht="12.75">
      <c r="A11" s="210" t="s">
        <v>482</v>
      </c>
      <c r="B11" s="211" t="s">
        <v>483</v>
      </c>
      <c r="C11" s="212">
        <f aca="true" t="shared" si="1" ref="C11:D11">C12+C13+C14</f>
        <v>194122.7</v>
      </c>
      <c r="D11" s="212">
        <f t="shared" si="1"/>
        <v>178419.8</v>
      </c>
      <c r="E11" s="212">
        <f>E12+E13+E14</f>
        <v>161038.09999999998</v>
      </c>
    </row>
    <row r="12" spans="1:5" ht="78.75">
      <c r="A12" s="213" t="s">
        <v>484</v>
      </c>
      <c r="B12" s="214" t="s">
        <v>485</v>
      </c>
      <c r="C12" s="215">
        <v>192269.2</v>
      </c>
      <c r="D12" s="215">
        <v>176716.1</v>
      </c>
      <c r="E12" s="215">
        <v>159500.4</v>
      </c>
    </row>
    <row r="13" spans="1:5" ht="126">
      <c r="A13" s="213" t="s">
        <v>486</v>
      </c>
      <c r="B13" s="214" t="s">
        <v>487</v>
      </c>
      <c r="C13" s="215">
        <v>827.2</v>
      </c>
      <c r="D13" s="215">
        <v>760.3</v>
      </c>
      <c r="E13" s="215">
        <v>686.3</v>
      </c>
    </row>
    <row r="14" spans="1:5" ht="47.25">
      <c r="A14" s="213" t="s">
        <v>488</v>
      </c>
      <c r="B14" s="214" t="s">
        <v>489</v>
      </c>
      <c r="C14" s="215">
        <v>1026.3</v>
      </c>
      <c r="D14" s="215">
        <v>943.4</v>
      </c>
      <c r="E14" s="215">
        <v>851.4</v>
      </c>
    </row>
    <row r="15" spans="1:5" ht="47.25">
      <c r="A15" s="210" t="s">
        <v>490</v>
      </c>
      <c r="B15" s="211" t="s">
        <v>491</v>
      </c>
      <c r="C15" s="212">
        <f aca="true" t="shared" si="2" ref="C15:D15">C16</f>
        <v>2520.1</v>
      </c>
      <c r="D15" s="212">
        <f t="shared" si="2"/>
        <v>2818.5</v>
      </c>
      <c r="E15" s="212">
        <f>E16</f>
        <v>3121.3999999999996</v>
      </c>
    </row>
    <row r="16" spans="1:5" ht="31.5">
      <c r="A16" s="210" t="s">
        <v>492</v>
      </c>
      <c r="B16" s="211" t="s">
        <v>493</v>
      </c>
      <c r="C16" s="212">
        <f aca="true" t="shared" si="3" ref="C16:D16">C17+C18+C19</f>
        <v>2520.1</v>
      </c>
      <c r="D16" s="212">
        <f t="shared" si="3"/>
        <v>2818.5</v>
      </c>
      <c r="E16" s="212">
        <f>E17+E18+E19</f>
        <v>3121.3999999999996</v>
      </c>
    </row>
    <row r="17" spans="1:5" ht="83.25" customHeight="1">
      <c r="A17" s="213" t="s">
        <v>494</v>
      </c>
      <c r="B17" s="214" t="s">
        <v>495</v>
      </c>
      <c r="C17" s="215">
        <v>789</v>
      </c>
      <c r="D17" s="215">
        <v>824.6</v>
      </c>
      <c r="E17" s="215">
        <v>920.5</v>
      </c>
    </row>
    <row r="18" spans="1:5" ht="93.75" customHeight="1">
      <c r="A18" s="213" t="s">
        <v>496</v>
      </c>
      <c r="B18" s="214" t="s">
        <v>497</v>
      </c>
      <c r="C18" s="215">
        <v>6.9</v>
      </c>
      <c r="D18" s="215">
        <v>6.7</v>
      </c>
      <c r="E18" s="215">
        <v>7.3</v>
      </c>
    </row>
    <row r="19" spans="1:5" ht="78.75" customHeight="1">
      <c r="A19" s="213" t="s">
        <v>498</v>
      </c>
      <c r="B19" s="214" t="s">
        <v>499</v>
      </c>
      <c r="C19" s="215">
        <v>1724.2</v>
      </c>
      <c r="D19" s="215">
        <v>1987.2</v>
      </c>
      <c r="E19" s="215">
        <v>2193.6</v>
      </c>
    </row>
    <row r="20" spans="1:5" ht="12.75">
      <c r="A20" s="210" t="s">
        <v>500</v>
      </c>
      <c r="B20" s="211" t="s">
        <v>501</v>
      </c>
      <c r="C20" s="212">
        <f aca="true" t="shared" si="4" ref="C20:E20">C21+C23</f>
        <v>35468</v>
      </c>
      <c r="D20" s="212">
        <f t="shared" si="4"/>
        <v>36887</v>
      </c>
      <c r="E20" s="212">
        <f t="shared" si="4"/>
        <v>38363</v>
      </c>
    </row>
    <row r="21" spans="1:5" ht="31.5">
      <c r="A21" s="210" t="s">
        <v>502</v>
      </c>
      <c r="B21" s="211" t="s">
        <v>503</v>
      </c>
      <c r="C21" s="212">
        <f aca="true" t="shared" si="5" ref="C21:D21">C22</f>
        <v>28172</v>
      </c>
      <c r="D21" s="212">
        <f t="shared" si="5"/>
        <v>29299</v>
      </c>
      <c r="E21" s="212">
        <f>E22</f>
        <v>30471</v>
      </c>
    </row>
    <row r="22" spans="1:5" ht="31.5">
      <c r="A22" s="213" t="s">
        <v>504</v>
      </c>
      <c r="B22" s="214" t="s">
        <v>503</v>
      </c>
      <c r="C22" s="215">
        <v>28172</v>
      </c>
      <c r="D22" s="215">
        <v>29299</v>
      </c>
      <c r="E22" s="215">
        <v>30471</v>
      </c>
    </row>
    <row r="23" spans="1:5" ht="31.5">
      <c r="A23" s="216" t="s">
        <v>505</v>
      </c>
      <c r="B23" s="211" t="s">
        <v>506</v>
      </c>
      <c r="C23" s="212">
        <f aca="true" t="shared" si="6" ref="C23:D23">C24</f>
        <v>7296</v>
      </c>
      <c r="D23" s="212">
        <f t="shared" si="6"/>
        <v>7588</v>
      </c>
      <c r="E23" s="212">
        <f>E24</f>
        <v>7892</v>
      </c>
    </row>
    <row r="24" spans="1:5" ht="47.25">
      <c r="A24" s="217" t="s">
        <v>507</v>
      </c>
      <c r="B24" s="214" t="s">
        <v>508</v>
      </c>
      <c r="C24" s="215">
        <v>7296</v>
      </c>
      <c r="D24" s="215">
        <v>7588</v>
      </c>
      <c r="E24" s="215">
        <v>7892</v>
      </c>
    </row>
    <row r="25" spans="1:5" ht="12.75">
      <c r="A25" s="210" t="s">
        <v>509</v>
      </c>
      <c r="B25" s="211" t="s">
        <v>510</v>
      </c>
      <c r="C25" s="212">
        <f aca="true" t="shared" si="7" ref="C25:D25">C26+C28</f>
        <v>65388</v>
      </c>
      <c r="D25" s="212">
        <f t="shared" si="7"/>
        <v>71283</v>
      </c>
      <c r="E25" s="212">
        <f>E26+E28</f>
        <v>77669</v>
      </c>
    </row>
    <row r="26" spans="1:5" ht="12.75">
      <c r="A26" s="210" t="s">
        <v>511</v>
      </c>
      <c r="B26" s="211" t="s">
        <v>512</v>
      </c>
      <c r="C26" s="212">
        <f aca="true" t="shared" si="8" ref="C26:D26">C27</f>
        <v>19650</v>
      </c>
      <c r="D26" s="212">
        <f t="shared" si="8"/>
        <v>25545</v>
      </c>
      <c r="E26" s="212">
        <f>E27</f>
        <v>31931</v>
      </c>
    </row>
    <row r="27" spans="1:5" ht="47.25">
      <c r="A27" s="213" t="s">
        <v>513</v>
      </c>
      <c r="B27" s="214" t="s">
        <v>514</v>
      </c>
      <c r="C27" s="218">
        <v>19650</v>
      </c>
      <c r="D27" s="218">
        <v>25545</v>
      </c>
      <c r="E27" s="218">
        <v>31931</v>
      </c>
    </row>
    <row r="28" spans="1:5" ht="12.75">
      <c r="A28" s="210" t="s">
        <v>515</v>
      </c>
      <c r="B28" s="211" t="s">
        <v>516</v>
      </c>
      <c r="C28" s="212">
        <f aca="true" t="shared" si="9" ref="C28:D28">C29+C31</f>
        <v>45738</v>
      </c>
      <c r="D28" s="212">
        <f t="shared" si="9"/>
        <v>45738</v>
      </c>
      <c r="E28" s="212">
        <f>E29+E31</f>
        <v>45738</v>
      </c>
    </row>
    <row r="29" spans="1:5" ht="12.75">
      <c r="A29" s="213" t="s">
        <v>517</v>
      </c>
      <c r="B29" s="214" t="s">
        <v>518</v>
      </c>
      <c r="C29" s="215">
        <f aca="true" t="shared" si="10" ref="C29:D29">C30</f>
        <v>35350</v>
      </c>
      <c r="D29" s="215">
        <f t="shared" si="10"/>
        <v>35350</v>
      </c>
      <c r="E29" s="215">
        <f>E30</f>
        <v>35350</v>
      </c>
    </row>
    <row r="30" spans="1:5" ht="31.5">
      <c r="A30" s="213" t="s">
        <v>519</v>
      </c>
      <c r="B30" s="214" t="s">
        <v>520</v>
      </c>
      <c r="C30" s="218">
        <v>35350</v>
      </c>
      <c r="D30" s="218">
        <v>35350</v>
      </c>
      <c r="E30" s="218">
        <v>35350</v>
      </c>
    </row>
    <row r="31" spans="1:5" ht="12.75">
      <c r="A31" s="213" t="s">
        <v>521</v>
      </c>
      <c r="B31" s="214" t="s">
        <v>522</v>
      </c>
      <c r="C31" s="215">
        <f aca="true" t="shared" si="11" ref="C31:D31">C32</f>
        <v>10388</v>
      </c>
      <c r="D31" s="215">
        <f t="shared" si="11"/>
        <v>10388</v>
      </c>
      <c r="E31" s="215">
        <f>E32</f>
        <v>10388</v>
      </c>
    </row>
    <row r="32" spans="1:5" ht="34.9" customHeight="1">
      <c r="A32" s="213" t="s">
        <v>523</v>
      </c>
      <c r="B32" s="214" t="s">
        <v>524</v>
      </c>
      <c r="C32" s="218">
        <v>10388</v>
      </c>
      <c r="D32" s="218">
        <v>10388</v>
      </c>
      <c r="E32" s="218">
        <v>10388</v>
      </c>
    </row>
    <row r="33" spans="1:5" ht="12.75">
      <c r="A33" s="210" t="s">
        <v>525</v>
      </c>
      <c r="B33" s="211" t="s">
        <v>526</v>
      </c>
      <c r="C33" s="212">
        <f aca="true" t="shared" si="12" ref="C33:D33">C34+C36</f>
        <v>2811</v>
      </c>
      <c r="D33" s="212">
        <f t="shared" si="12"/>
        <v>2811</v>
      </c>
      <c r="E33" s="212">
        <f>E34+E36</f>
        <v>2811</v>
      </c>
    </row>
    <row r="34" spans="1:5" ht="34.9" customHeight="1">
      <c r="A34" s="210" t="s">
        <v>527</v>
      </c>
      <c r="B34" s="211" t="s">
        <v>528</v>
      </c>
      <c r="C34" s="212">
        <f aca="true" t="shared" si="13" ref="C34:D34">C35</f>
        <v>2786</v>
      </c>
      <c r="D34" s="212">
        <f t="shared" si="13"/>
        <v>2786</v>
      </c>
      <c r="E34" s="212">
        <f>E35</f>
        <v>2786</v>
      </c>
    </row>
    <row r="35" spans="1:5" ht="47.25">
      <c r="A35" s="213" t="s">
        <v>529</v>
      </c>
      <c r="B35" s="214" t="s">
        <v>530</v>
      </c>
      <c r="C35" s="218">
        <v>2786</v>
      </c>
      <c r="D35" s="218">
        <v>2786</v>
      </c>
      <c r="E35" s="218">
        <v>2786</v>
      </c>
    </row>
    <row r="36" spans="1:5" ht="47.25">
      <c r="A36" s="210" t="s">
        <v>531</v>
      </c>
      <c r="B36" s="211" t="s">
        <v>532</v>
      </c>
      <c r="C36" s="219">
        <f aca="true" t="shared" si="14" ref="C36:E36">C37</f>
        <v>25</v>
      </c>
      <c r="D36" s="219">
        <f t="shared" si="14"/>
        <v>25</v>
      </c>
      <c r="E36" s="219">
        <f t="shared" si="14"/>
        <v>25</v>
      </c>
    </row>
    <row r="37" spans="1:5" ht="31.5">
      <c r="A37" s="213" t="s">
        <v>533</v>
      </c>
      <c r="B37" s="214" t="s">
        <v>534</v>
      </c>
      <c r="C37" s="218">
        <v>25</v>
      </c>
      <c r="D37" s="218">
        <v>25</v>
      </c>
      <c r="E37" s="218">
        <v>25</v>
      </c>
    </row>
    <row r="38" spans="1:5" ht="47.25">
      <c r="A38" s="210" t="s">
        <v>535</v>
      </c>
      <c r="B38" s="211" t="s">
        <v>536</v>
      </c>
      <c r="C38" s="212">
        <f aca="true" t="shared" si="15" ref="C38:D38">C39+C46+C49</f>
        <v>33829.2</v>
      </c>
      <c r="D38" s="212">
        <f t="shared" si="15"/>
        <v>33045.299999999996</v>
      </c>
      <c r="E38" s="212">
        <f>E39+E46+E49</f>
        <v>32246.3</v>
      </c>
    </row>
    <row r="39" spans="1:5" ht="110.25">
      <c r="A39" s="210" t="s">
        <v>537</v>
      </c>
      <c r="B39" s="211" t="s">
        <v>538</v>
      </c>
      <c r="C39" s="212">
        <f aca="true" t="shared" si="16" ref="C39:D39">C40+C42+C44</f>
        <v>31460.4</v>
      </c>
      <c r="D39" s="212">
        <f t="shared" si="16"/>
        <v>30676.5</v>
      </c>
      <c r="E39" s="212">
        <f>E40+E42+E44</f>
        <v>30134.4</v>
      </c>
    </row>
    <row r="40" spans="1:5" ht="78.75">
      <c r="A40" s="213" t="s">
        <v>539</v>
      </c>
      <c r="B40" s="214" t="s">
        <v>540</v>
      </c>
      <c r="C40" s="215">
        <f aca="true" t="shared" si="17" ref="C40:D40">C41</f>
        <v>14527.4</v>
      </c>
      <c r="D40" s="215">
        <f t="shared" si="17"/>
        <v>13743.5</v>
      </c>
      <c r="E40" s="215">
        <f>E41</f>
        <v>13201.4</v>
      </c>
    </row>
    <row r="41" spans="1:5" ht="94.5">
      <c r="A41" s="213" t="s">
        <v>541</v>
      </c>
      <c r="B41" s="214" t="s">
        <v>542</v>
      </c>
      <c r="C41" s="215">
        <v>14527.4</v>
      </c>
      <c r="D41" s="215">
        <v>13743.5</v>
      </c>
      <c r="E41" s="215">
        <v>13201.4</v>
      </c>
    </row>
    <row r="42" spans="1:5" ht="94.5">
      <c r="A42" s="213" t="s">
        <v>543</v>
      </c>
      <c r="B42" s="214" t="s">
        <v>544</v>
      </c>
      <c r="C42" s="218">
        <f aca="true" t="shared" si="18" ref="C42:E42">C43</f>
        <v>2022.4</v>
      </c>
      <c r="D42" s="218">
        <f t="shared" si="18"/>
        <v>2022.4</v>
      </c>
      <c r="E42" s="218">
        <f t="shared" si="18"/>
        <v>2022.4</v>
      </c>
    </row>
    <row r="43" spans="1:5" ht="78.75">
      <c r="A43" s="213" t="s">
        <v>545</v>
      </c>
      <c r="B43" s="214" t="s">
        <v>546</v>
      </c>
      <c r="C43" s="218">
        <v>2022.4</v>
      </c>
      <c r="D43" s="218">
        <v>2022.4</v>
      </c>
      <c r="E43" s="218">
        <v>2022.4</v>
      </c>
    </row>
    <row r="44" spans="1:5" ht="47.25">
      <c r="A44" s="213" t="s">
        <v>547</v>
      </c>
      <c r="B44" s="214" t="s">
        <v>548</v>
      </c>
      <c r="C44" s="215">
        <f aca="true" t="shared" si="19" ref="C44:D44">C45</f>
        <v>14910.6</v>
      </c>
      <c r="D44" s="215">
        <f t="shared" si="19"/>
        <v>14910.6</v>
      </c>
      <c r="E44" s="215">
        <f>E45</f>
        <v>14910.6</v>
      </c>
    </row>
    <row r="45" spans="1:5" ht="47.25" customHeight="1">
      <c r="A45" s="213" t="s">
        <v>549</v>
      </c>
      <c r="B45" s="214" t="s">
        <v>550</v>
      </c>
      <c r="C45" s="215">
        <v>14910.6</v>
      </c>
      <c r="D45" s="215">
        <v>14910.6</v>
      </c>
      <c r="E45" s="215">
        <v>14910.6</v>
      </c>
    </row>
    <row r="46" spans="1:5" ht="31.5">
      <c r="A46" s="210" t="s">
        <v>551</v>
      </c>
      <c r="B46" s="211" t="s">
        <v>552</v>
      </c>
      <c r="C46" s="212">
        <f aca="true" t="shared" si="20" ref="C46:D47">C47</f>
        <v>1341.1</v>
      </c>
      <c r="D46" s="212">
        <f t="shared" si="20"/>
        <v>1341.1</v>
      </c>
      <c r="E46" s="212">
        <f>E47</f>
        <v>1341.1</v>
      </c>
    </row>
    <row r="47" spans="1:5" ht="49.5" customHeight="1">
      <c r="A47" s="213" t="s">
        <v>553</v>
      </c>
      <c r="B47" s="214" t="s">
        <v>554</v>
      </c>
      <c r="C47" s="215">
        <f t="shared" si="20"/>
        <v>1341.1</v>
      </c>
      <c r="D47" s="215">
        <f t="shared" si="20"/>
        <v>1341.1</v>
      </c>
      <c r="E47" s="215">
        <f>E48</f>
        <v>1341.1</v>
      </c>
    </row>
    <row r="48" spans="1:5" ht="63">
      <c r="A48" s="213" t="s">
        <v>555</v>
      </c>
      <c r="B48" s="214" t="s">
        <v>556</v>
      </c>
      <c r="C48" s="215">
        <v>1341.1</v>
      </c>
      <c r="D48" s="215">
        <v>1341.1</v>
      </c>
      <c r="E48" s="215">
        <v>1341.1</v>
      </c>
    </row>
    <row r="49" spans="1:5" ht="99" customHeight="1">
      <c r="A49" s="210" t="s">
        <v>557</v>
      </c>
      <c r="B49" s="211" t="s">
        <v>558</v>
      </c>
      <c r="C49" s="212">
        <f aca="true" t="shared" si="21" ref="C49:D50">C50</f>
        <v>1027.7</v>
      </c>
      <c r="D49" s="212">
        <f t="shared" si="21"/>
        <v>1027.7</v>
      </c>
      <c r="E49" s="212">
        <f>E50</f>
        <v>770.8</v>
      </c>
    </row>
    <row r="50" spans="1:5" ht="94.5">
      <c r="A50" s="213" t="s">
        <v>559</v>
      </c>
      <c r="B50" s="214" t="s">
        <v>560</v>
      </c>
      <c r="C50" s="215">
        <f t="shared" si="21"/>
        <v>1027.7</v>
      </c>
      <c r="D50" s="215">
        <f t="shared" si="21"/>
        <v>1027.7</v>
      </c>
      <c r="E50" s="215">
        <f>E51</f>
        <v>770.8</v>
      </c>
    </row>
    <row r="51" spans="1:5" ht="99" customHeight="1">
      <c r="A51" s="213" t="s">
        <v>561</v>
      </c>
      <c r="B51" s="214" t="s">
        <v>562</v>
      </c>
      <c r="C51" s="215">
        <v>1027.7</v>
      </c>
      <c r="D51" s="215">
        <v>1027.7</v>
      </c>
      <c r="E51" s="215">
        <v>770.8</v>
      </c>
    </row>
    <row r="52" spans="1:5" ht="31.5">
      <c r="A52" s="210" t="s">
        <v>563</v>
      </c>
      <c r="B52" s="211" t="s">
        <v>564</v>
      </c>
      <c r="C52" s="212">
        <f aca="true" t="shared" si="22" ref="C52:D52">C53</f>
        <v>1398.7</v>
      </c>
      <c r="D52" s="212">
        <f t="shared" si="22"/>
        <v>1454.6</v>
      </c>
      <c r="E52" s="212">
        <f>E53</f>
        <v>1512.8</v>
      </c>
    </row>
    <row r="53" spans="1:5" ht="21.6" customHeight="1">
      <c r="A53" s="210" t="s">
        <v>565</v>
      </c>
      <c r="B53" s="211" t="s">
        <v>566</v>
      </c>
      <c r="C53" s="212">
        <f>SUM(C54:C56)</f>
        <v>1398.7</v>
      </c>
      <c r="D53" s="212">
        <f>SUM(D54:D56)</f>
        <v>1454.6</v>
      </c>
      <c r="E53" s="212">
        <f>SUM(E54:E56)</f>
        <v>1512.8</v>
      </c>
    </row>
    <row r="54" spans="1:5" ht="31.5">
      <c r="A54" s="220" t="s">
        <v>567</v>
      </c>
      <c r="B54" s="214" t="s">
        <v>568</v>
      </c>
      <c r="C54" s="215">
        <v>594.4</v>
      </c>
      <c r="D54" s="215">
        <v>618.1</v>
      </c>
      <c r="E54" s="215">
        <v>642.8</v>
      </c>
    </row>
    <row r="55" spans="1:5" ht="20.25" customHeight="1">
      <c r="A55" s="220" t="s">
        <v>569</v>
      </c>
      <c r="B55" s="214" t="s">
        <v>570</v>
      </c>
      <c r="C55" s="215">
        <v>637</v>
      </c>
      <c r="D55" s="215">
        <v>662.5</v>
      </c>
      <c r="E55" s="215">
        <v>689</v>
      </c>
    </row>
    <row r="56" spans="1:5" ht="19.5" customHeight="1">
      <c r="A56" s="220" t="s">
        <v>571</v>
      </c>
      <c r="B56" s="214" t="s">
        <v>572</v>
      </c>
      <c r="C56" s="215">
        <f>C57</f>
        <v>167.3</v>
      </c>
      <c r="D56" s="215">
        <f aca="true" t="shared" si="23" ref="D56:E56">D57</f>
        <v>174</v>
      </c>
      <c r="E56" s="215">
        <f t="shared" si="23"/>
        <v>181</v>
      </c>
    </row>
    <row r="57" spans="1:5" ht="18.75" customHeight="1">
      <c r="A57" s="220" t="s">
        <v>573</v>
      </c>
      <c r="B57" s="214" t="s">
        <v>574</v>
      </c>
      <c r="C57" s="215">
        <v>167.3</v>
      </c>
      <c r="D57" s="215">
        <v>174</v>
      </c>
      <c r="E57" s="215">
        <v>181</v>
      </c>
    </row>
    <row r="58" spans="1:5" ht="47.25">
      <c r="A58" s="210" t="s">
        <v>575</v>
      </c>
      <c r="B58" s="211" t="s">
        <v>576</v>
      </c>
      <c r="C58" s="212">
        <f aca="true" t="shared" si="24" ref="C58:E60">C59</f>
        <v>1433.7</v>
      </c>
      <c r="D58" s="212">
        <f t="shared" si="24"/>
        <v>1342.7</v>
      </c>
      <c r="E58" s="212">
        <f t="shared" si="24"/>
        <v>1251.8</v>
      </c>
    </row>
    <row r="59" spans="1:5" ht="12.75">
      <c r="A59" s="221" t="s">
        <v>577</v>
      </c>
      <c r="B59" s="211" t="s">
        <v>578</v>
      </c>
      <c r="C59" s="212">
        <f t="shared" si="24"/>
        <v>1433.7</v>
      </c>
      <c r="D59" s="212">
        <f t="shared" si="24"/>
        <v>1342.7</v>
      </c>
      <c r="E59" s="212">
        <f t="shared" si="24"/>
        <v>1251.8</v>
      </c>
    </row>
    <row r="60" spans="1:5" ht="12.75">
      <c r="A60" s="220" t="s">
        <v>579</v>
      </c>
      <c r="B60" s="214" t="s">
        <v>580</v>
      </c>
      <c r="C60" s="215">
        <f t="shared" si="24"/>
        <v>1433.7</v>
      </c>
      <c r="D60" s="215">
        <f t="shared" si="24"/>
        <v>1342.7</v>
      </c>
      <c r="E60" s="215">
        <f t="shared" si="24"/>
        <v>1251.8</v>
      </c>
    </row>
    <row r="61" spans="1:5" ht="31.5">
      <c r="A61" s="220" t="s">
        <v>581</v>
      </c>
      <c r="B61" s="214" t="s">
        <v>582</v>
      </c>
      <c r="C61" s="215">
        <v>1433.7</v>
      </c>
      <c r="D61" s="215">
        <v>1342.7</v>
      </c>
      <c r="E61" s="215">
        <v>1251.8</v>
      </c>
    </row>
    <row r="62" spans="1:5" ht="31.5">
      <c r="A62" s="210" t="s">
        <v>583</v>
      </c>
      <c r="B62" s="211" t="s">
        <v>584</v>
      </c>
      <c r="C62" s="212">
        <f aca="true" t="shared" si="25" ref="C62:D62">C63+C66</f>
        <v>7125.2</v>
      </c>
      <c r="D62" s="212">
        <f t="shared" si="25"/>
        <v>3666.2000000000003</v>
      </c>
      <c r="E62" s="212">
        <f>E63+E66</f>
        <v>2689.5</v>
      </c>
    </row>
    <row r="63" spans="1:5" ht="94.5">
      <c r="A63" s="210" t="s">
        <v>585</v>
      </c>
      <c r="B63" s="211" t="s">
        <v>586</v>
      </c>
      <c r="C63" s="212">
        <f aca="true" t="shared" si="26" ref="C63:D64">C64</f>
        <v>4457.9</v>
      </c>
      <c r="D63" s="212">
        <f t="shared" si="26"/>
        <v>1117.9</v>
      </c>
      <c r="E63" s="212">
        <f>E64</f>
        <v>1083.8</v>
      </c>
    </row>
    <row r="64" spans="1:5" ht="110.25">
      <c r="A64" s="213" t="s">
        <v>587</v>
      </c>
      <c r="B64" s="214" t="s">
        <v>588</v>
      </c>
      <c r="C64" s="215">
        <f t="shared" si="26"/>
        <v>4457.9</v>
      </c>
      <c r="D64" s="215">
        <f t="shared" si="26"/>
        <v>1117.9</v>
      </c>
      <c r="E64" s="215">
        <f>E65</f>
        <v>1083.8</v>
      </c>
    </row>
    <row r="65" spans="1:5" ht="94.5">
      <c r="A65" s="213" t="s">
        <v>589</v>
      </c>
      <c r="B65" s="214" t="s">
        <v>590</v>
      </c>
      <c r="C65" s="215">
        <v>4457.9</v>
      </c>
      <c r="D65" s="215">
        <v>1117.9</v>
      </c>
      <c r="E65" s="215">
        <v>1083.8</v>
      </c>
    </row>
    <row r="66" spans="1:5" ht="33" customHeight="1">
      <c r="A66" s="210" t="s">
        <v>591</v>
      </c>
      <c r="B66" s="211" t="s">
        <v>592</v>
      </c>
      <c r="C66" s="212">
        <f>C67</f>
        <v>2667.3</v>
      </c>
      <c r="D66" s="212">
        <f aca="true" t="shared" si="27" ref="D66:E66">D67</f>
        <v>2548.3</v>
      </c>
      <c r="E66" s="212">
        <f t="shared" si="27"/>
        <v>1605.7</v>
      </c>
    </row>
    <row r="67" spans="1:5" ht="32.25" customHeight="1">
      <c r="A67" s="213" t="s">
        <v>593</v>
      </c>
      <c r="B67" s="214" t="s">
        <v>594</v>
      </c>
      <c r="C67" s="215">
        <f aca="true" t="shared" si="28" ref="C67:D67">C68</f>
        <v>2667.3</v>
      </c>
      <c r="D67" s="215">
        <f t="shared" si="28"/>
        <v>2548.3</v>
      </c>
      <c r="E67" s="215">
        <f>E68</f>
        <v>1605.7</v>
      </c>
    </row>
    <row r="68" spans="1:5" ht="51" customHeight="1">
      <c r="A68" s="213" t="s">
        <v>595</v>
      </c>
      <c r="B68" s="214" t="s">
        <v>596</v>
      </c>
      <c r="C68" s="215">
        <v>2667.3</v>
      </c>
      <c r="D68" s="215">
        <v>2548.3</v>
      </c>
      <c r="E68" s="215">
        <v>1605.7</v>
      </c>
    </row>
    <row r="69" spans="1:5" ht="12.75">
      <c r="A69" s="210" t="s">
        <v>597</v>
      </c>
      <c r="B69" s="211" t="s">
        <v>598</v>
      </c>
      <c r="C69" s="212">
        <f aca="true" t="shared" si="29" ref="C69:E69">C70+C76+C79+C82+C85+C87+C73+C74+C80+C84</f>
        <v>4599.799999999999</v>
      </c>
      <c r="D69" s="212">
        <f t="shared" si="29"/>
        <v>4748.1</v>
      </c>
      <c r="E69" s="212">
        <f t="shared" si="29"/>
        <v>4779.3</v>
      </c>
    </row>
    <row r="70" spans="1:5" ht="31.5">
      <c r="A70" s="210" t="s">
        <v>599</v>
      </c>
      <c r="B70" s="211" t="s">
        <v>600</v>
      </c>
      <c r="C70" s="212">
        <f aca="true" t="shared" si="30" ref="C70:D70">C71+C72</f>
        <v>37.5</v>
      </c>
      <c r="D70" s="212">
        <f t="shared" si="30"/>
        <v>37.5</v>
      </c>
      <c r="E70" s="212">
        <f>E71+E72</f>
        <v>37.5</v>
      </c>
    </row>
    <row r="71" spans="1:5" ht="81.6" customHeight="1">
      <c r="A71" s="213" t="s">
        <v>601</v>
      </c>
      <c r="B71" s="214" t="s">
        <v>602</v>
      </c>
      <c r="C71" s="215">
        <f>61/2</f>
        <v>30.5</v>
      </c>
      <c r="D71" s="215">
        <f>61/2</f>
        <v>30.5</v>
      </c>
      <c r="E71" s="215">
        <f>61/2</f>
        <v>30.5</v>
      </c>
    </row>
    <row r="72" spans="1:5" ht="63">
      <c r="A72" s="213" t="s">
        <v>603</v>
      </c>
      <c r="B72" s="214" t="s">
        <v>604</v>
      </c>
      <c r="C72" s="215">
        <f>14/2</f>
        <v>7</v>
      </c>
      <c r="D72" s="215">
        <f>14/2</f>
        <v>7</v>
      </c>
      <c r="E72" s="215">
        <f>14/2</f>
        <v>7</v>
      </c>
    </row>
    <row r="73" spans="1:5" ht="78.75">
      <c r="A73" s="221" t="s">
        <v>605</v>
      </c>
      <c r="B73" s="211" t="s">
        <v>606</v>
      </c>
      <c r="C73" s="212">
        <v>83</v>
      </c>
      <c r="D73" s="212">
        <v>83</v>
      </c>
      <c r="E73" s="212">
        <v>83</v>
      </c>
    </row>
    <row r="74" spans="1:5" ht="78.75">
      <c r="A74" s="221" t="s">
        <v>607</v>
      </c>
      <c r="B74" s="211" t="s">
        <v>608</v>
      </c>
      <c r="C74" s="212">
        <f aca="true" t="shared" si="31" ref="C74:E74">C75</f>
        <v>119.7</v>
      </c>
      <c r="D74" s="212">
        <f t="shared" si="31"/>
        <v>112.8</v>
      </c>
      <c r="E74" s="212">
        <f t="shared" si="31"/>
        <v>92.6</v>
      </c>
    </row>
    <row r="75" spans="1:5" ht="63">
      <c r="A75" s="220" t="s">
        <v>609</v>
      </c>
      <c r="B75" s="214" t="s">
        <v>610</v>
      </c>
      <c r="C75" s="215">
        <f>106.7+13</f>
        <v>119.7</v>
      </c>
      <c r="D75" s="215">
        <f>99.8+13</f>
        <v>112.8</v>
      </c>
      <c r="E75" s="215">
        <f>82.6+10</f>
        <v>92.6</v>
      </c>
    </row>
    <row r="76" spans="1:5" ht="132.6" customHeight="1">
      <c r="A76" s="210" t="s">
        <v>611</v>
      </c>
      <c r="B76" s="211" t="s">
        <v>612</v>
      </c>
      <c r="C76" s="212">
        <f aca="true" t="shared" si="32" ref="C76:E76">C78+C77</f>
        <v>237</v>
      </c>
      <c r="D76" s="212">
        <f t="shared" si="32"/>
        <v>276</v>
      </c>
      <c r="E76" s="212">
        <f t="shared" si="32"/>
        <v>244</v>
      </c>
    </row>
    <row r="77" spans="1:5" ht="31.5">
      <c r="A77" s="213" t="s">
        <v>613</v>
      </c>
      <c r="B77" s="214" t="s">
        <v>614</v>
      </c>
      <c r="C77" s="215">
        <v>52</v>
      </c>
      <c r="D77" s="215">
        <v>52</v>
      </c>
      <c r="E77" s="215">
        <v>57</v>
      </c>
    </row>
    <row r="78" spans="1:5" ht="31.5">
      <c r="A78" s="213" t="s">
        <v>615</v>
      </c>
      <c r="B78" s="214" t="s">
        <v>616</v>
      </c>
      <c r="C78" s="215">
        <v>185</v>
      </c>
      <c r="D78" s="215">
        <v>224</v>
      </c>
      <c r="E78" s="215">
        <v>187</v>
      </c>
    </row>
    <row r="79" spans="1:5" ht="63">
      <c r="A79" s="210" t="s">
        <v>617</v>
      </c>
      <c r="B79" s="211" t="s">
        <v>618</v>
      </c>
      <c r="C79" s="212">
        <v>1652</v>
      </c>
      <c r="D79" s="212">
        <v>1652</v>
      </c>
      <c r="E79" s="212">
        <v>1652</v>
      </c>
    </row>
    <row r="80" spans="1:5" ht="31.5">
      <c r="A80" s="210" t="s">
        <v>619</v>
      </c>
      <c r="B80" s="211" t="s">
        <v>620</v>
      </c>
      <c r="C80" s="212">
        <f aca="true" t="shared" si="33" ref="C80:E80">C81</f>
        <v>71.3</v>
      </c>
      <c r="D80" s="212">
        <f t="shared" si="33"/>
        <v>71.3</v>
      </c>
      <c r="E80" s="212">
        <f t="shared" si="33"/>
        <v>80.7</v>
      </c>
    </row>
    <row r="81" spans="1:5" ht="31.5">
      <c r="A81" s="222" t="s">
        <v>621</v>
      </c>
      <c r="B81" s="214" t="s">
        <v>622</v>
      </c>
      <c r="C81" s="215">
        <v>71.3</v>
      </c>
      <c r="D81" s="215">
        <v>71.3</v>
      </c>
      <c r="E81" s="215">
        <v>80.7</v>
      </c>
    </row>
    <row r="82" spans="1:5" ht="67.5" customHeight="1">
      <c r="A82" s="210" t="s">
        <v>623</v>
      </c>
      <c r="B82" s="211" t="s">
        <v>624</v>
      </c>
      <c r="C82" s="212">
        <f aca="true" t="shared" si="34" ref="C82:D82">C83</f>
        <v>260.6</v>
      </c>
      <c r="D82" s="212">
        <f t="shared" si="34"/>
        <v>260.6</v>
      </c>
      <c r="E82" s="212">
        <f>E83</f>
        <v>260.6</v>
      </c>
    </row>
    <row r="83" spans="1:5" ht="78.75">
      <c r="A83" s="223" t="s">
        <v>625</v>
      </c>
      <c r="B83" s="214" t="s">
        <v>626</v>
      </c>
      <c r="C83" s="215">
        <v>260.6</v>
      </c>
      <c r="D83" s="215">
        <v>260.6</v>
      </c>
      <c r="E83" s="215">
        <v>260.6</v>
      </c>
    </row>
    <row r="84" spans="1:5" ht="78.75">
      <c r="A84" s="224" t="s">
        <v>627</v>
      </c>
      <c r="B84" s="211" t="s">
        <v>628</v>
      </c>
      <c r="C84" s="212">
        <f>22+0.9+27</f>
        <v>49.9</v>
      </c>
      <c r="D84" s="212">
        <f>25.6+1.2+27</f>
        <v>53.8</v>
      </c>
      <c r="E84" s="212">
        <f>29.2+0.9+27</f>
        <v>57.099999999999994</v>
      </c>
    </row>
    <row r="85" spans="1:5" ht="47.25">
      <c r="A85" s="221" t="s">
        <v>629</v>
      </c>
      <c r="B85" s="211" t="s">
        <v>630</v>
      </c>
      <c r="C85" s="212">
        <f aca="true" t="shared" si="35" ref="C85:D85">C86</f>
        <v>60</v>
      </c>
      <c r="D85" s="212">
        <f t="shared" si="35"/>
        <v>60</v>
      </c>
      <c r="E85" s="212">
        <f>E86</f>
        <v>60</v>
      </c>
    </row>
    <row r="86" spans="1:5" ht="63">
      <c r="A86" s="220" t="s">
        <v>631</v>
      </c>
      <c r="B86" s="214" t="s">
        <v>632</v>
      </c>
      <c r="C86" s="215">
        <v>60</v>
      </c>
      <c r="D86" s="215">
        <v>60</v>
      </c>
      <c r="E86" s="215">
        <v>60</v>
      </c>
    </row>
    <row r="87" spans="1:5" ht="31.5">
      <c r="A87" s="210" t="s">
        <v>633</v>
      </c>
      <c r="B87" s="211" t="s">
        <v>634</v>
      </c>
      <c r="C87" s="212">
        <f aca="true" t="shared" si="36" ref="C87:D87">C88</f>
        <v>2028.8</v>
      </c>
      <c r="D87" s="212">
        <f t="shared" si="36"/>
        <v>2141.1</v>
      </c>
      <c r="E87" s="212">
        <f>E88</f>
        <v>2211.8</v>
      </c>
    </row>
    <row r="88" spans="1:5" ht="47.25">
      <c r="A88" s="213" t="s">
        <v>635</v>
      </c>
      <c r="B88" s="214" t="s">
        <v>636</v>
      </c>
      <c r="C88" s="215">
        <v>2028.8</v>
      </c>
      <c r="D88" s="215">
        <v>2141.1</v>
      </c>
      <c r="E88" s="215">
        <v>2211.8</v>
      </c>
    </row>
    <row r="89" spans="1:5" ht="12.75">
      <c r="A89" s="210" t="s">
        <v>637</v>
      </c>
      <c r="B89" s="211" t="s">
        <v>638</v>
      </c>
      <c r="C89" s="212">
        <f>C90+C129+C132</f>
        <v>448652.1399999999</v>
      </c>
      <c r="D89" s="212">
        <f aca="true" t="shared" si="37" ref="D89:E89">D90</f>
        <v>286055.69999999995</v>
      </c>
      <c r="E89" s="212">
        <f t="shared" si="37"/>
        <v>287115.99999999994</v>
      </c>
    </row>
    <row r="90" spans="1:5" ht="47.25">
      <c r="A90" s="225" t="s">
        <v>639</v>
      </c>
      <c r="B90" s="226" t="s">
        <v>640</v>
      </c>
      <c r="C90" s="212">
        <f>C109+C91+C126</f>
        <v>448162.1399999999</v>
      </c>
      <c r="D90" s="212">
        <f>D109+D91</f>
        <v>286055.69999999995</v>
      </c>
      <c r="E90" s="212">
        <f>E109+E91</f>
        <v>287115.99999999994</v>
      </c>
    </row>
    <row r="91" spans="1:5" ht="34.5" customHeight="1">
      <c r="A91" s="227" t="s">
        <v>641</v>
      </c>
      <c r="B91" s="228" t="s">
        <v>642</v>
      </c>
      <c r="C91" s="212">
        <f>C92</f>
        <v>149032.14</v>
      </c>
      <c r="D91" s="212">
        <f aca="true" t="shared" si="38" ref="D91:E91">D92</f>
        <v>0</v>
      </c>
      <c r="E91" s="212">
        <f t="shared" si="38"/>
        <v>0</v>
      </c>
    </row>
    <row r="92" spans="1:5" ht="16.5">
      <c r="A92" s="229" t="s">
        <v>643</v>
      </c>
      <c r="B92" s="230" t="s">
        <v>644</v>
      </c>
      <c r="C92" s="215">
        <f>SUM(C93:C108)</f>
        <v>149032.14</v>
      </c>
      <c r="D92" s="215">
        <f aca="true" t="shared" si="39" ref="D92:E92">SUM(D93:D98)</f>
        <v>0</v>
      </c>
      <c r="E92" s="215">
        <f t="shared" si="39"/>
        <v>0</v>
      </c>
    </row>
    <row r="93" spans="1:5" ht="33">
      <c r="A93" s="229" t="s">
        <v>645</v>
      </c>
      <c r="B93" s="230" t="s">
        <v>646</v>
      </c>
      <c r="C93" s="215">
        <v>3209.2</v>
      </c>
      <c r="D93" s="215">
        <v>0</v>
      </c>
      <c r="E93" s="215">
        <v>0</v>
      </c>
    </row>
    <row r="94" spans="1:5" ht="49.5">
      <c r="A94" s="229" t="s">
        <v>645</v>
      </c>
      <c r="B94" s="230" t="s">
        <v>647</v>
      </c>
      <c r="C94" s="215">
        <v>4163</v>
      </c>
      <c r="D94" s="215">
        <v>0</v>
      </c>
      <c r="E94" s="215">
        <v>0</v>
      </c>
    </row>
    <row r="95" spans="1:5" ht="82.5">
      <c r="A95" s="229" t="s">
        <v>645</v>
      </c>
      <c r="B95" s="230" t="s">
        <v>648</v>
      </c>
      <c r="C95" s="215">
        <v>97.2</v>
      </c>
      <c r="D95" s="215">
        <v>0</v>
      </c>
      <c r="E95" s="215">
        <v>0</v>
      </c>
    </row>
    <row r="96" spans="1:5" ht="49.5">
      <c r="A96" s="229" t="s">
        <v>645</v>
      </c>
      <c r="B96" s="230" t="s">
        <v>649</v>
      </c>
      <c r="C96" s="215">
        <f>4632.7+1043.4</f>
        <v>5676.1</v>
      </c>
      <c r="D96" s="215">
        <v>0</v>
      </c>
      <c r="E96" s="215">
        <v>0</v>
      </c>
    </row>
    <row r="97" spans="1:5" ht="49.5">
      <c r="A97" s="229" t="s">
        <v>645</v>
      </c>
      <c r="B97" s="230" t="s">
        <v>650</v>
      </c>
      <c r="C97" s="215">
        <f>3232+4174.5</f>
        <v>7406.5</v>
      </c>
      <c r="D97" s="215">
        <v>0</v>
      </c>
      <c r="E97" s="215">
        <v>0</v>
      </c>
    </row>
    <row r="98" spans="1:5" ht="49.5">
      <c r="A98" s="231" t="s">
        <v>645</v>
      </c>
      <c r="B98" s="232" t="s">
        <v>651</v>
      </c>
      <c r="C98" s="215">
        <f>8548.4-2367.3</f>
        <v>6181.099999999999</v>
      </c>
      <c r="D98" s="215">
        <v>0</v>
      </c>
      <c r="E98" s="215">
        <v>0</v>
      </c>
    </row>
    <row r="99" spans="1:5" ht="49.5">
      <c r="A99" s="233" t="s">
        <v>652</v>
      </c>
      <c r="B99" s="234" t="s">
        <v>653</v>
      </c>
      <c r="C99" s="235">
        <v>10515.6</v>
      </c>
      <c r="D99" s="215">
        <v>0</v>
      </c>
      <c r="E99" s="215">
        <v>0</v>
      </c>
    </row>
    <row r="100" spans="1:5" ht="33">
      <c r="A100" s="233" t="s">
        <v>654</v>
      </c>
      <c r="B100" s="236" t="s">
        <v>655</v>
      </c>
      <c r="C100" s="235">
        <v>455.63</v>
      </c>
      <c r="D100" s="215">
        <v>0</v>
      </c>
      <c r="E100" s="215">
        <v>0</v>
      </c>
    </row>
    <row r="101" spans="1:5" ht="49.5">
      <c r="A101" s="233" t="s">
        <v>656</v>
      </c>
      <c r="B101" s="234" t="s">
        <v>657</v>
      </c>
      <c r="C101" s="235">
        <v>1162</v>
      </c>
      <c r="D101" s="215">
        <v>0</v>
      </c>
      <c r="E101" s="215">
        <v>0</v>
      </c>
    </row>
    <row r="102" spans="1:5" ht="66">
      <c r="A102" s="233" t="s">
        <v>658</v>
      </c>
      <c r="B102" s="234" t="s">
        <v>659</v>
      </c>
      <c r="C102" s="235">
        <v>459</v>
      </c>
      <c r="D102" s="215">
        <v>0</v>
      </c>
      <c r="E102" s="215">
        <v>0</v>
      </c>
    </row>
    <row r="103" spans="1:5" ht="49.5">
      <c r="A103" s="237" t="s">
        <v>660</v>
      </c>
      <c r="B103" s="234" t="s">
        <v>661</v>
      </c>
      <c r="C103" s="235">
        <v>4423.51</v>
      </c>
      <c r="D103" s="215">
        <v>0</v>
      </c>
      <c r="E103" s="215">
        <v>0</v>
      </c>
    </row>
    <row r="104" spans="1:5" ht="49.5">
      <c r="A104" s="233" t="s">
        <v>662</v>
      </c>
      <c r="B104" s="236" t="s">
        <v>663</v>
      </c>
      <c r="C104" s="215">
        <v>77453.7</v>
      </c>
      <c r="D104" s="215">
        <v>0</v>
      </c>
      <c r="E104" s="215">
        <v>0</v>
      </c>
    </row>
    <row r="105" spans="1:5" ht="49.5">
      <c r="A105" s="233" t="s">
        <v>664</v>
      </c>
      <c r="B105" s="236" t="s">
        <v>665</v>
      </c>
      <c r="C105" s="215">
        <v>7666.3</v>
      </c>
      <c r="D105" s="215">
        <v>0</v>
      </c>
      <c r="E105" s="215">
        <v>0</v>
      </c>
    </row>
    <row r="106" spans="1:5" ht="66">
      <c r="A106" s="238" t="s">
        <v>666</v>
      </c>
      <c r="B106" s="230" t="s">
        <v>667</v>
      </c>
      <c r="C106" s="215">
        <v>15073</v>
      </c>
      <c r="D106" s="215">
        <v>0</v>
      </c>
      <c r="E106" s="215">
        <v>0</v>
      </c>
    </row>
    <row r="107" spans="1:5" ht="33">
      <c r="A107" s="238" t="s">
        <v>668</v>
      </c>
      <c r="B107" s="230" t="s">
        <v>669</v>
      </c>
      <c r="C107" s="215">
        <v>4898.6</v>
      </c>
      <c r="D107" s="215">
        <v>0</v>
      </c>
      <c r="E107" s="215">
        <v>0</v>
      </c>
    </row>
    <row r="108" spans="1:5" ht="35.25" customHeight="1">
      <c r="A108" s="238" t="s">
        <v>670</v>
      </c>
      <c r="B108" s="239" t="s">
        <v>671</v>
      </c>
      <c r="C108" s="215">
        <v>191.7</v>
      </c>
      <c r="D108" s="215">
        <v>0</v>
      </c>
      <c r="E108" s="215">
        <v>0</v>
      </c>
    </row>
    <row r="109" spans="1:5" ht="31.5">
      <c r="A109" s="225" t="s">
        <v>672</v>
      </c>
      <c r="B109" s="226" t="s">
        <v>673</v>
      </c>
      <c r="C109" s="212">
        <f>C116+C112+C118+C110+C114</f>
        <v>298429.8999999999</v>
      </c>
      <c r="D109" s="212">
        <f>D116+D112+D118+D110+D114</f>
        <v>286055.69999999995</v>
      </c>
      <c r="E109" s="212">
        <f>E116+E112+E118+E110+E114</f>
        <v>287115.99999999994</v>
      </c>
    </row>
    <row r="110" spans="1:5" ht="78.75">
      <c r="A110" s="213" t="s">
        <v>674</v>
      </c>
      <c r="B110" s="240" t="s">
        <v>675</v>
      </c>
      <c r="C110" s="215">
        <f aca="true" t="shared" si="40" ref="C110:D110">C111</f>
        <v>10448.6</v>
      </c>
      <c r="D110" s="215">
        <f t="shared" si="40"/>
        <v>10448.6</v>
      </c>
      <c r="E110" s="215">
        <f>E111</f>
        <v>10448.6</v>
      </c>
    </row>
    <row r="111" spans="1:5" ht="94.5">
      <c r="A111" s="241" t="s">
        <v>676</v>
      </c>
      <c r="B111" s="240" t="s">
        <v>677</v>
      </c>
      <c r="C111" s="215">
        <v>10448.6</v>
      </c>
      <c r="D111" s="215">
        <v>10448.6</v>
      </c>
      <c r="E111" s="215">
        <v>10448.6</v>
      </c>
    </row>
    <row r="112" spans="1:5" ht="69" customHeight="1">
      <c r="A112" s="213" t="s">
        <v>678</v>
      </c>
      <c r="B112" s="240" t="s">
        <v>679</v>
      </c>
      <c r="C112" s="215">
        <f aca="true" t="shared" si="41" ref="C112:D112">C113</f>
        <v>3000.7</v>
      </c>
      <c r="D112" s="215">
        <f t="shared" si="41"/>
        <v>1000.1999999999998</v>
      </c>
      <c r="E112" s="215">
        <f>E113</f>
        <v>2000.5</v>
      </c>
    </row>
    <row r="113" spans="1:5" ht="66" customHeight="1">
      <c r="A113" s="213" t="s">
        <v>680</v>
      </c>
      <c r="B113" s="240" t="s">
        <v>681</v>
      </c>
      <c r="C113" s="215">
        <f>11002.5-8001.8</f>
        <v>3000.7</v>
      </c>
      <c r="D113" s="215">
        <f>8001.8-7001.6</f>
        <v>1000.1999999999998</v>
      </c>
      <c r="E113" s="215">
        <f>9002.1-7001.6</f>
        <v>2000.5</v>
      </c>
    </row>
    <row r="114" spans="1:5" ht="63">
      <c r="A114" s="213" t="s">
        <v>682</v>
      </c>
      <c r="B114" s="240" t="s">
        <v>683</v>
      </c>
      <c r="C114" s="215">
        <f aca="true" t="shared" si="42" ref="C114:E114">C115</f>
        <v>145</v>
      </c>
      <c r="D114" s="215">
        <f t="shared" si="42"/>
        <v>9.5</v>
      </c>
      <c r="E114" s="215">
        <f t="shared" si="42"/>
        <v>15.7</v>
      </c>
    </row>
    <row r="115" spans="1:5" ht="67.5" customHeight="1">
      <c r="A115" s="213" t="s">
        <v>684</v>
      </c>
      <c r="B115" s="240" t="s">
        <v>685</v>
      </c>
      <c r="C115" s="215">
        <v>145</v>
      </c>
      <c r="D115" s="215">
        <v>9.5</v>
      </c>
      <c r="E115" s="215">
        <v>15.7</v>
      </c>
    </row>
    <row r="116" spans="1:5" ht="31.5">
      <c r="A116" s="213" t="s">
        <v>686</v>
      </c>
      <c r="B116" s="240" t="s">
        <v>687</v>
      </c>
      <c r="C116" s="215">
        <f aca="true" t="shared" si="43" ref="C116:D116">C117</f>
        <v>1319.4</v>
      </c>
      <c r="D116" s="215">
        <f t="shared" si="43"/>
        <v>1365.2</v>
      </c>
      <c r="E116" s="215">
        <f>E117</f>
        <v>1419</v>
      </c>
    </row>
    <row r="117" spans="1:5" ht="48.75" customHeight="1">
      <c r="A117" s="213" t="s">
        <v>688</v>
      </c>
      <c r="B117" s="240" t="s">
        <v>689</v>
      </c>
      <c r="C117" s="215">
        <v>1319.4</v>
      </c>
      <c r="D117" s="215">
        <v>1365.2</v>
      </c>
      <c r="E117" s="215">
        <v>1419</v>
      </c>
    </row>
    <row r="118" spans="1:5" ht="12.75">
      <c r="A118" s="213" t="s">
        <v>690</v>
      </c>
      <c r="B118" s="240" t="s">
        <v>691</v>
      </c>
      <c r="C118" s="215">
        <f>SUM(C119:C125)</f>
        <v>283516.19999999995</v>
      </c>
      <c r="D118" s="215">
        <f>SUM(D119:D124)</f>
        <v>273232.19999999995</v>
      </c>
      <c r="E118" s="215">
        <f>SUM(E119:E124)</f>
        <v>273232.19999999995</v>
      </c>
    </row>
    <row r="119" spans="1:5" ht="110.25">
      <c r="A119" s="213" t="s">
        <v>692</v>
      </c>
      <c r="B119" s="240" t="s">
        <v>693</v>
      </c>
      <c r="C119" s="215">
        <v>180708.3</v>
      </c>
      <c r="D119" s="215">
        <f>179999.7-3038.1</f>
        <v>176961.6</v>
      </c>
      <c r="E119" s="215">
        <f>179999.7-3038.1</f>
        <v>176961.6</v>
      </c>
    </row>
    <row r="120" spans="1:5" ht="63">
      <c r="A120" s="213" t="s">
        <v>692</v>
      </c>
      <c r="B120" s="240" t="s">
        <v>694</v>
      </c>
      <c r="C120" s="215">
        <v>93485.5</v>
      </c>
      <c r="D120" s="215">
        <f>88699.3-734.8</f>
        <v>87964.5</v>
      </c>
      <c r="E120" s="215">
        <f>88699.3-734.8</f>
        <v>87964.5</v>
      </c>
    </row>
    <row r="121" spans="1:5" ht="63">
      <c r="A121" s="213" t="s">
        <v>692</v>
      </c>
      <c r="B121" s="240" t="s">
        <v>695</v>
      </c>
      <c r="C121" s="215">
        <v>650</v>
      </c>
      <c r="D121" s="215">
        <v>650</v>
      </c>
      <c r="E121" s="215">
        <v>650</v>
      </c>
    </row>
    <row r="122" spans="1:5" ht="78.75">
      <c r="A122" s="213" t="s">
        <v>692</v>
      </c>
      <c r="B122" s="240" t="s">
        <v>696</v>
      </c>
      <c r="C122" s="215">
        <v>264</v>
      </c>
      <c r="D122" s="215">
        <v>264</v>
      </c>
      <c r="E122" s="215">
        <v>264</v>
      </c>
    </row>
    <row r="123" spans="1:5" ht="78.75">
      <c r="A123" s="213" t="s">
        <v>692</v>
      </c>
      <c r="B123" s="240" t="s">
        <v>697</v>
      </c>
      <c r="C123" s="215">
        <v>8001.8</v>
      </c>
      <c r="D123" s="215">
        <v>7001.6</v>
      </c>
      <c r="E123" s="215">
        <v>7001.6</v>
      </c>
    </row>
    <row r="124" spans="1:5" ht="110.25">
      <c r="A124" s="213" t="s">
        <v>692</v>
      </c>
      <c r="B124" s="240" t="s">
        <v>698</v>
      </c>
      <c r="C124" s="215">
        <v>404</v>
      </c>
      <c r="D124" s="215">
        <v>390.5</v>
      </c>
      <c r="E124" s="215">
        <v>390.5</v>
      </c>
    </row>
    <row r="125" spans="1:5" ht="126">
      <c r="A125" s="213" t="s">
        <v>692</v>
      </c>
      <c r="B125" s="240" t="s">
        <v>699</v>
      </c>
      <c r="C125" s="215">
        <v>2.6</v>
      </c>
      <c r="D125" s="215">
        <f>D129</f>
        <v>0</v>
      </c>
      <c r="E125" s="215">
        <f>E129</f>
        <v>0</v>
      </c>
    </row>
    <row r="126" spans="1:5" ht="16.5">
      <c r="A126" s="227" t="s">
        <v>700</v>
      </c>
      <c r="B126" s="228" t="s">
        <v>701</v>
      </c>
      <c r="C126" s="242">
        <f>C127</f>
        <v>700.1</v>
      </c>
      <c r="D126" s="242">
        <f aca="true" t="shared" si="44" ref="D126:E127">D127</f>
        <v>0</v>
      </c>
      <c r="E126" s="242">
        <f t="shared" si="44"/>
        <v>0</v>
      </c>
    </row>
    <row r="127" spans="1:5" ht="33">
      <c r="A127" s="229" t="s">
        <v>702</v>
      </c>
      <c r="B127" s="230" t="s">
        <v>703</v>
      </c>
      <c r="C127" s="243">
        <f>C128</f>
        <v>700.1</v>
      </c>
      <c r="D127" s="243">
        <f t="shared" si="44"/>
        <v>0</v>
      </c>
      <c r="E127" s="243">
        <f t="shared" si="44"/>
        <v>0</v>
      </c>
    </row>
    <row r="128" spans="1:5" ht="66">
      <c r="A128" s="229" t="s">
        <v>704</v>
      </c>
      <c r="B128" s="230" t="s">
        <v>705</v>
      </c>
      <c r="C128" s="243">
        <v>700.1</v>
      </c>
      <c r="D128" s="243">
        <v>0</v>
      </c>
      <c r="E128" s="243">
        <v>0</v>
      </c>
    </row>
    <row r="129" spans="1:10" s="245" customFormat="1" ht="31.5">
      <c r="A129" s="210" t="s">
        <v>706</v>
      </c>
      <c r="B129" s="226" t="s">
        <v>707</v>
      </c>
      <c r="C129" s="212">
        <f>C130</f>
        <v>40</v>
      </c>
      <c r="D129" s="212">
        <f>D130+D131</f>
        <v>0</v>
      </c>
      <c r="E129" s="212">
        <f>E130+E131</f>
        <v>0</v>
      </c>
      <c r="F129" s="244"/>
      <c r="G129" s="244"/>
      <c r="H129" s="244"/>
      <c r="I129" s="244"/>
      <c r="J129" s="244"/>
    </row>
    <row r="130" spans="1:5" ht="33">
      <c r="A130" s="229" t="s">
        <v>708</v>
      </c>
      <c r="B130" s="230" t="s">
        <v>709</v>
      </c>
      <c r="C130" s="215">
        <f>C131</f>
        <v>40</v>
      </c>
      <c r="D130" s="215">
        <f aca="true" t="shared" si="45" ref="D130:E130">D131</f>
        <v>0</v>
      </c>
      <c r="E130" s="215">
        <f t="shared" si="45"/>
        <v>0</v>
      </c>
    </row>
    <row r="131" spans="1:5" ht="31.5" customHeight="1">
      <c r="A131" s="213" t="s">
        <v>710</v>
      </c>
      <c r="B131" s="240" t="s">
        <v>711</v>
      </c>
      <c r="C131" s="215">
        <v>40</v>
      </c>
      <c r="D131" s="215">
        <v>0</v>
      </c>
      <c r="E131" s="215">
        <v>0</v>
      </c>
    </row>
    <row r="132" spans="1:5" ht="16.5">
      <c r="A132" s="247" t="s">
        <v>712</v>
      </c>
      <c r="B132" s="248" t="s">
        <v>713</v>
      </c>
      <c r="C132" s="249">
        <f>C133</f>
        <v>450</v>
      </c>
      <c r="D132" s="249">
        <v>0</v>
      </c>
      <c r="E132" s="249">
        <v>0</v>
      </c>
    </row>
    <row r="133" spans="1:5" ht="33">
      <c r="A133" s="250" t="s">
        <v>714</v>
      </c>
      <c r="B133" s="251" t="s">
        <v>715</v>
      </c>
      <c r="C133" s="252">
        <f>C134</f>
        <v>450</v>
      </c>
      <c r="D133" s="252">
        <v>0</v>
      </c>
      <c r="E133" s="252">
        <v>0</v>
      </c>
    </row>
    <row r="134" spans="1:5" ht="33">
      <c r="A134" s="250" t="s">
        <v>716</v>
      </c>
      <c r="B134" s="251" t="s">
        <v>715</v>
      </c>
      <c r="C134" s="252">
        <v>450</v>
      </c>
      <c r="D134" s="252">
        <v>0</v>
      </c>
      <c r="E134" s="252">
        <v>0</v>
      </c>
    </row>
    <row r="135" spans="1:5" ht="12.75">
      <c r="A135" s="210"/>
      <c r="B135" s="253" t="s">
        <v>717</v>
      </c>
      <c r="C135" s="212">
        <f>C9+C89</f>
        <v>797348.5399999999</v>
      </c>
      <c r="D135" s="212">
        <f>D9+D89</f>
        <v>622531.8999999999</v>
      </c>
      <c r="E135" s="212">
        <f>E9+E89</f>
        <v>612598.2</v>
      </c>
    </row>
    <row r="136" ht="12.75">
      <c r="C136" s="254"/>
    </row>
  </sheetData>
  <mergeCells count="6">
    <mergeCell ref="A2:E2"/>
    <mergeCell ref="B3:E3"/>
    <mergeCell ref="A5:E5"/>
    <mergeCell ref="A7:A8"/>
    <mergeCell ref="B7:B8"/>
    <mergeCell ref="C7:E7"/>
  </mergeCells>
  <printOptions/>
  <pageMargins left="0.7874015748031497" right="0.3937007874015748" top="0.3937007874015748" bottom="0.3937007874015748" header="0.31496062992125984" footer="0.31496062992125984"/>
  <pageSetup fitToHeight="7"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A2" sqref="A2:E2"/>
    </sheetView>
  </sheetViews>
  <sheetFormatPr defaultColWidth="8.875" defaultRowHeight="12.75"/>
  <cols>
    <col min="1" max="1" width="8.25390625" style="17" customWidth="1"/>
    <col min="2" max="2" width="66.875" style="17" customWidth="1"/>
    <col min="3" max="3" width="11.25390625" style="17" customWidth="1"/>
    <col min="4" max="4" width="12.00390625" style="17" customWidth="1"/>
    <col min="5" max="5" width="11.75390625" style="17" customWidth="1"/>
    <col min="6" max="16384" width="8.875" style="4" customWidth="1"/>
  </cols>
  <sheetData>
    <row r="1" spans="1:5" ht="46.15" customHeight="1">
      <c r="A1" s="275" t="s">
        <v>722</v>
      </c>
      <c r="B1" s="275"/>
      <c r="C1" s="275"/>
      <c r="D1" s="275"/>
      <c r="E1" s="275"/>
    </row>
    <row r="2" spans="1:5" ht="51" customHeight="1">
      <c r="A2" s="276" t="s">
        <v>120</v>
      </c>
      <c r="B2" s="276"/>
      <c r="C2" s="276"/>
      <c r="D2" s="276"/>
      <c r="E2" s="276"/>
    </row>
    <row r="3" spans="1:5" ht="12.75">
      <c r="A3" s="272" t="s">
        <v>41</v>
      </c>
      <c r="B3" s="272" t="s">
        <v>23</v>
      </c>
      <c r="C3" s="277" t="s">
        <v>97</v>
      </c>
      <c r="D3" s="278"/>
      <c r="E3" s="279"/>
    </row>
    <row r="4" spans="1:5" ht="12.75">
      <c r="A4" s="273"/>
      <c r="B4" s="273"/>
      <c r="C4" s="272" t="s">
        <v>98</v>
      </c>
      <c r="D4" s="277" t="s">
        <v>100</v>
      </c>
      <c r="E4" s="279"/>
    </row>
    <row r="5" spans="1:5" ht="12.75">
      <c r="A5" s="274"/>
      <c r="B5" s="274"/>
      <c r="C5" s="274"/>
      <c r="D5" s="32" t="s">
        <v>99</v>
      </c>
      <c r="E5" s="32" t="s">
        <v>119</v>
      </c>
    </row>
    <row r="6" spans="1:5" ht="12.75">
      <c r="A6" s="32" t="s">
        <v>5</v>
      </c>
      <c r="B6" s="32" t="s">
        <v>83</v>
      </c>
      <c r="C6" s="32" t="s">
        <v>84</v>
      </c>
      <c r="D6" s="32" t="s">
        <v>85</v>
      </c>
      <c r="E6" s="32" t="s">
        <v>86</v>
      </c>
    </row>
    <row r="7" spans="1:5" ht="12.75">
      <c r="A7" s="5" t="s">
        <v>72</v>
      </c>
      <c r="B7" s="30" t="s">
        <v>64</v>
      </c>
      <c r="C7" s="7">
        <f>C8+C17+C20+C25+C29+C36+C38+C42+C45+C47</f>
        <v>822957.4</v>
      </c>
      <c r="D7" s="7">
        <f>D8+D17+D20+D25+D29+D36+D38+D42+D45+D47</f>
        <v>615531.9</v>
      </c>
      <c r="E7" s="7">
        <f>E8+E17+E20+E25+E29+E36+E38+E42+E45+E47</f>
        <v>605598.2000000001</v>
      </c>
    </row>
    <row r="8" spans="1:5" ht="12.75">
      <c r="A8" s="5" t="s">
        <v>60</v>
      </c>
      <c r="B8" s="26" t="s">
        <v>25</v>
      </c>
      <c r="C8" s="7">
        <f>SUM(C9:C16)</f>
        <v>71911.4</v>
      </c>
      <c r="D8" s="7">
        <f aca="true" t="shared" si="0" ref="D8:E8">SUM(D9:D16)</f>
        <v>71621.4</v>
      </c>
      <c r="E8" s="7">
        <f t="shared" si="0"/>
        <v>71527.59999999999</v>
      </c>
    </row>
    <row r="9" spans="1:5" ht="34.15" customHeight="1">
      <c r="A9" s="32" t="s">
        <v>48</v>
      </c>
      <c r="B9" s="15" t="s">
        <v>65</v>
      </c>
      <c r="C9" s="8">
        <f>'№5 '!E9</f>
        <v>1782.1</v>
      </c>
      <c r="D9" s="8">
        <f>'№5 '!F9</f>
        <v>1479</v>
      </c>
      <c r="E9" s="8">
        <f>'№5 '!G9</f>
        <v>1479</v>
      </c>
    </row>
    <row r="10" spans="1:5" ht="47.25">
      <c r="A10" s="32" t="s">
        <v>49</v>
      </c>
      <c r="B10" s="15" t="s">
        <v>26</v>
      </c>
      <c r="C10" s="8">
        <f>'№5 '!E15</f>
        <v>4114.299999999999</v>
      </c>
      <c r="D10" s="8">
        <f>'№5 '!F15</f>
        <v>4114.3</v>
      </c>
      <c r="E10" s="8">
        <f>'№5 '!G15</f>
        <v>4114.3</v>
      </c>
    </row>
    <row r="11" spans="1:5" ht="49.15" customHeight="1">
      <c r="A11" s="32" t="s">
        <v>50</v>
      </c>
      <c r="B11" s="15" t="s">
        <v>27</v>
      </c>
      <c r="C11" s="8">
        <f>'№5 '!E32</f>
        <v>24731.099999999995</v>
      </c>
      <c r="D11" s="8">
        <f>'№5 '!F32</f>
        <v>18867.899999999998</v>
      </c>
      <c r="E11" s="8">
        <f>'№5 '!G32</f>
        <v>18867.899999999998</v>
      </c>
    </row>
    <row r="12" spans="1:5" ht="15.6" customHeight="1">
      <c r="A12" s="18" t="s">
        <v>210</v>
      </c>
      <c r="B12" s="9" t="s">
        <v>211</v>
      </c>
      <c r="C12" s="8">
        <f>'№5 '!E53</f>
        <v>145</v>
      </c>
      <c r="D12" s="8">
        <f>'№5 '!F53</f>
        <v>9.5</v>
      </c>
      <c r="E12" s="8">
        <f>'№5 '!G53</f>
        <v>15.7</v>
      </c>
    </row>
    <row r="13" spans="1:7" ht="37.15" customHeight="1">
      <c r="A13" s="32" t="s">
        <v>51</v>
      </c>
      <c r="B13" s="15" t="s">
        <v>11</v>
      </c>
      <c r="C13" s="8">
        <f>'№5 '!E59</f>
        <v>7059.8</v>
      </c>
      <c r="D13" s="8">
        <f>'№5 '!F59</f>
        <v>6252.599999999999</v>
      </c>
      <c r="E13" s="8">
        <f>'№5 '!G59</f>
        <v>6252.599999999999</v>
      </c>
      <c r="G13" s="72"/>
    </row>
    <row r="14" spans="1:5" ht="16.5" customHeight="1">
      <c r="A14" s="18" t="s">
        <v>304</v>
      </c>
      <c r="B14" s="15" t="s">
        <v>305</v>
      </c>
      <c r="C14" s="8">
        <f>'№5 '!E70</f>
        <v>88.6</v>
      </c>
      <c r="D14" s="8">
        <f>'№5 '!F70</f>
        <v>88.6</v>
      </c>
      <c r="E14" s="8">
        <f>'№5 '!G70</f>
        <v>88.6</v>
      </c>
    </row>
    <row r="15" spans="1:5" ht="12.75">
      <c r="A15" s="32" t="s">
        <v>52</v>
      </c>
      <c r="B15" s="15" t="s">
        <v>12</v>
      </c>
      <c r="C15" s="8">
        <f>'№5 '!E77</f>
        <v>1000</v>
      </c>
      <c r="D15" s="8">
        <f>'№5 '!F77</f>
        <v>900</v>
      </c>
      <c r="E15" s="8">
        <f>'№5 '!G77</f>
        <v>800</v>
      </c>
    </row>
    <row r="16" spans="1:5" ht="12.75">
      <c r="A16" s="32" t="s">
        <v>66</v>
      </c>
      <c r="B16" s="15" t="s">
        <v>28</v>
      </c>
      <c r="C16" s="8">
        <f>'№5 '!E83</f>
        <v>32990.5</v>
      </c>
      <c r="D16" s="8">
        <f>'№5 '!F83</f>
        <v>39909.5</v>
      </c>
      <c r="E16" s="8">
        <f>'№5 '!G83</f>
        <v>39909.5</v>
      </c>
    </row>
    <row r="17" spans="1:5" ht="29.25" customHeight="1">
      <c r="A17" s="5" t="s">
        <v>61</v>
      </c>
      <c r="B17" s="26" t="s">
        <v>29</v>
      </c>
      <c r="C17" s="7">
        <f>C18+C19</f>
        <v>8237.4</v>
      </c>
      <c r="D17" s="7">
        <f aca="true" t="shared" si="1" ref="D17:E17">D18+D19</f>
        <v>8045.200000000001</v>
      </c>
      <c r="E17" s="7">
        <f t="shared" si="1"/>
        <v>8099</v>
      </c>
    </row>
    <row r="18" spans="1:5" ht="12.75">
      <c r="A18" s="32" t="s">
        <v>81</v>
      </c>
      <c r="B18" s="15" t="s">
        <v>82</v>
      </c>
      <c r="C18" s="8">
        <f>'№5 '!E169</f>
        <v>1451.1000000000001</v>
      </c>
      <c r="D18" s="8">
        <f>'№5 '!F169</f>
        <v>1496.9</v>
      </c>
      <c r="E18" s="8">
        <f>'№5 '!G169</f>
        <v>1550.7</v>
      </c>
    </row>
    <row r="19" spans="1:5" ht="31.5">
      <c r="A19" s="18" t="s">
        <v>53</v>
      </c>
      <c r="B19" s="15" t="s">
        <v>19</v>
      </c>
      <c r="C19" s="8">
        <f>'№5 '!E181</f>
        <v>6786.3</v>
      </c>
      <c r="D19" s="8">
        <f>'№5 '!F181</f>
        <v>6548.3</v>
      </c>
      <c r="E19" s="8">
        <f>'№5 '!G181</f>
        <v>6548.3</v>
      </c>
    </row>
    <row r="20" spans="1:5" ht="16.15" customHeight="1">
      <c r="A20" s="5" t="s">
        <v>62</v>
      </c>
      <c r="B20" s="26" t="s">
        <v>30</v>
      </c>
      <c r="C20" s="7">
        <f>C22+C23+C24+C21</f>
        <v>128295.79999999997</v>
      </c>
      <c r="D20" s="7">
        <f aca="true" t="shared" si="2" ref="D20:E20">D22+D23+D24+D21</f>
        <v>24322.300000000003</v>
      </c>
      <c r="E20" s="7">
        <f t="shared" si="2"/>
        <v>13428.300000000001</v>
      </c>
    </row>
    <row r="21" spans="1:5" ht="12.75">
      <c r="A21" s="18" t="s">
        <v>122</v>
      </c>
      <c r="B21" s="15" t="s">
        <v>123</v>
      </c>
      <c r="C21" s="8">
        <f>'№5 '!E195</f>
        <v>366.9</v>
      </c>
      <c r="D21" s="8">
        <f>'№5 '!F195</f>
        <v>294.7</v>
      </c>
      <c r="E21" s="8">
        <f>'№5 '!G195</f>
        <v>294.7</v>
      </c>
    </row>
    <row r="22" spans="1:5" ht="12.75">
      <c r="A22" s="32" t="s">
        <v>95</v>
      </c>
      <c r="B22" s="15" t="s">
        <v>96</v>
      </c>
      <c r="C22" s="8">
        <f>'№5 '!E202</f>
        <v>404</v>
      </c>
      <c r="D22" s="8">
        <f>'№5 '!F202</f>
        <v>390.5</v>
      </c>
      <c r="E22" s="8">
        <f>'№5 '!G202</f>
        <v>390.5</v>
      </c>
    </row>
    <row r="23" spans="1:5" ht="12.75">
      <c r="A23" s="32" t="s">
        <v>9</v>
      </c>
      <c r="B23" s="15" t="s">
        <v>101</v>
      </c>
      <c r="C23" s="8">
        <f>'№5 '!E209</f>
        <v>123288.99999999999</v>
      </c>
      <c r="D23" s="8">
        <f>'№5 '!F209</f>
        <v>19856.2</v>
      </c>
      <c r="E23" s="8">
        <f>'№5 '!G209</f>
        <v>8962.2</v>
      </c>
    </row>
    <row r="24" spans="1:5" ht="12.75">
      <c r="A24" s="32" t="s">
        <v>54</v>
      </c>
      <c r="B24" s="15" t="s">
        <v>31</v>
      </c>
      <c r="C24" s="8">
        <f>'№5 '!E231</f>
        <v>4235.9</v>
      </c>
      <c r="D24" s="8">
        <f>'№5 '!F231</f>
        <v>3780.9</v>
      </c>
      <c r="E24" s="8">
        <f>'№5 '!G231</f>
        <v>3780.9</v>
      </c>
    </row>
    <row r="25" spans="1:5" ht="12.75">
      <c r="A25" s="5" t="s">
        <v>63</v>
      </c>
      <c r="B25" s="26" t="s">
        <v>32</v>
      </c>
      <c r="C25" s="7">
        <f>C26+C28+C27</f>
        <v>42915.3</v>
      </c>
      <c r="D25" s="7">
        <f aca="true" t="shared" si="3" ref="D25:E25">D26+D28+D27</f>
        <v>16087</v>
      </c>
      <c r="E25" s="7">
        <f t="shared" si="3"/>
        <v>16087</v>
      </c>
    </row>
    <row r="26" spans="1:5" ht="12.75">
      <c r="A26" s="32" t="s">
        <v>7</v>
      </c>
      <c r="B26" s="15" t="s">
        <v>8</v>
      </c>
      <c r="C26" s="8">
        <f>'№5 '!E261</f>
        <v>1433.7</v>
      </c>
      <c r="D26" s="8">
        <f>'№5 '!F261</f>
        <v>1433.7</v>
      </c>
      <c r="E26" s="8">
        <f>'№5 '!G261</f>
        <v>1433.7</v>
      </c>
    </row>
    <row r="27" spans="1:5" ht="12.75">
      <c r="A27" s="18" t="s">
        <v>342</v>
      </c>
      <c r="B27" s="15" t="s">
        <v>343</v>
      </c>
      <c r="C27" s="8">
        <f>'№5 '!E268</f>
        <v>6123.200000000001</v>
      </c>
      <c r="D27" s="8">
        <f>'№5 '!F268</f>
        <v>0</v>
      </c>
      <c r="E27" s="8">
        <f>'№5 '!G268</f>
        <v>0</v>
      </c>
    </row>
    <row r="28" spans="1:5" ht="12.75">
      <c r="A28" s="32" t="s">
        <v>55</v>
      </c>
      <c r="B28" s="15" t="s">
        <v>33</v>
      </c>
      <c r="C28" s="8">
        <f>'№5 '!E278</f>
        <v>35358.4</v>
      </c>
      <c r="D28" s="8">
        <f>'№5 '!F278</f>
        <v>14653.3</v>
      </c>
      <c r="E28" s="8">
        <f>'№5 '!G278</f>
        <v>14653.3</v>
      </c>
    </row>
    <row r="29" spans="1:5" ht="12.75">
      <c r="A29" s="5" t="s">
        <v>42</v>
      </c>
      <c r="B29" s="6" t="s">
        <v>34</v>
      </c>
      <c r="C29" s="7">
        <f>C30+C31+C32+C34+C35+C33</f>
        <v>478059.10000000003</v>
      </c>
      <c r="D29" s="7">
        <f aca="true" t="shared" si="4" ref="D29:E29">D30+D31+D32+D34+D35+D33</f>
        <v>429228.50000000006</v>
      </c>
      <c r="E29" s="7">
        <f t="shared" si="4"/>
        <v>429228.50000000006</v>
      </c>
    </row>
    <row r="30" spans="1:5" ht="12.75">
      <c r="A30" s="32" t="s">
        <v>56</v>
      </c>
      <c r="B30" s="15" t="s">
        <v>14</v>
      </c>
      <c r="C30" s="8">
        <f>'№5 '!E331</f>
        <v>178050.7</v>
      </c>
      <c r="D30" s="8">
        <f>'№5 '!F331</f>
        <v>161779</v>
      </c>
      <c r="E30" s="8">
        <f>'№5 '!G331</f>
        <v>161779</v>
      </c>
    </row>
    <row r="31" spans="1:5" ht="12.75">
      <c r="A31" s="18" t="s">
        <v>57</v>
      </c>
      <c r="B31" s="15" t="s">
        <v>15</v>
      </c>
      <c r="C31" s="8">
        <f>'№5 '!E357</f>
        <v>244140.79999999996</v>
      </c>
      <c r="D31" s="8">
        <f>'№5 '!F357</f>
        <v>224204.30000000002</v>
      </c>
      <c r="E31" s="8">
        <f>'№5 '!G357</f>
        <v>224204.30000000002</v>
      </c>
    </row>
    <row r="32" spans="1:5" ht="12.75">
      <c r="A32" s="18" t="s">
        <v>102</v>
      </c>
      <c r="B32" s="15" t="s">
        <v>103</v>
      </c>
      <c r="C32" s="8">
        <f>'№5 '!E425</f>
        <v>44433.799999999996</v>
      </c>
      <c r="D32" s="8">
        <f>'№5 '!F425</f>
        <v>36452.7</v>
      </c>
      <c r="E32" s="8">
        <f>'№5 '!G425</f>
        <v>36452.7</v>
      </c>
    </row>
    <row r="33" spans="1:5" ht="32.45" customHeight="1">
      <c r="A33" s="18" t="s">
        <v>276</v>
      </c>
      <c r="B33" s="15" t="s">
        <v>470</v>
      </c>
      <c r="C33" s="8">
        <f>'№5 '!E462</f>
        <v>479</v>
      </c>
      <c r="D33" s="8">
        <f>'№5 '!F462</f>
        <v>479</v>
      </c>
      <c r="E33" s="8">
        <f>'№5 '!G462</f>
        <v>479</v>
      </c>
    </row>
    <row r="34" spans="1:5" ht="12.75">
      <c r="A34" s="18" t="s">
        <v>43</v>
      </c>
      <c r="B34" s="15" t="s">
        <v>118</v>
      </c>
      <c r="C34" s="8">
        <f>'№5 '!E469</f>
        <v>3603.8999999999996</v>
      </c>
      <c r="D34" s="8">
        <f>'№5 '!F469</f>
        <v>386.79999999999995</v>
      </c>
      <c r="E34" s="8">
        <f>'№5 '!G469</f>
        <v>386.79999999999995</v>
      </c>
    </row>
    <row r="35" spans="1:5" ht="12.75">
      <c r="A35" s="18" t="s">
        <v>58</v>
      </c>
      <c r="B35" s="15" t="s">
        <v>16</v>
      </c>
      <c r="C35" s="8">
        <f>'№5 '!E505</f>
        <v>7350.9</v>
      </c>
      <c r="D35" s="8">
        <f>'№5 '!F505</f>
        <v>5926.7</v>
      </c>
      <c r="E35" s="8">
        <f>'№5 '!G505</f>
        <v>5926.7</v>
      </c>
    </row>
    <row r="36" spans="1:5" ht="12.75">
      <c r="A36" s="5" t="s">
        <v>46</v>
      </c>
      <c r="B36" s="26" t="s">
        <v>88</v>
      </c>
      <c r="C36" s="7">
        <f>C37</f>
        <v>37362.6</v>
      </c>
      <c r="D36" s="7">
        <f aca="true" t="shared" si="5" ref="D36:E36">D37</f>
        <v>29347.9</v>
      </c>
      <c r="E36" s="7">
        <f t="shared" si="5"/>
        <v>29347.9</v>
      </c>
    </row>
    <row r="37" spans="1:5" ht="12.75">
      <c r="A37" s="32" t="s">
        <v>47</v>
      </c>
      <c r="B37" s="15" t="s">
        <v>17</v>
      </c>
      <c r="C37" s="8">
        <f>'№5 '!E532</f>
        <v>37362.6</v>
      </c>
      <c r="D37" s="8">
        <f>'№5 '!F532</f>
        <v>29347.9</v>
      </c>
      <c r="E37" s="8">
        <f>'№5 '!G532</f>
        <v>29347.9</v>
      </c>
    </row>
    <row r="38" spans="1:5" ht="12.75">
      <c r="A38" s="5" t="s">
        <v>44</v>
      </c>
      <c r="B38" s="26" t="s">
        <v>36</v>
      </c>
      <c r="C38" s="7">
        <f>C39+C40+C41</f>
        <v>39748.8</v>
      </c>
      <c r="D38" s="7">
        <f aca="true" t="shared" si="6" ref="D38:E38">D39+D40+D41</f>
        <v>22765.6</v>
      </c>
      <c r="E38" s="7">
        <f t="shared" si="6"/>
        <v>23765.899999999998</v>
      </c>
    </row>
    <row r="39" spans="1:5" ht="12.75">
      <c r="A39" s="32" t="s">
        <v>59</v>
      </c>
      <c r="B39" s="15" t="s">
        <v>37</v>
      </c>
      <c r="C39" s="8">
        <f>'№5 '!E581</f>
        <v>1650</v>
      </c>
      <c r="D39" s="8">
        <f>'№5 '!F581</f>
        <v>1650</v>
      </c>
      <c r="E39" s="8">
        <f>'№5 '!G581</f>
        <v>1650</v>
      </c>
    </row>
    <row r="40" spans="1:5" ht="12.75">
      <c r="A40" s="32" t="s">
        <v>45</v>
      </c>
      <c r="B40" s="15" t="s">
        <v>39</v>
      </c>
      <c r="C40" s="8">
        <f>'№5 '!E590</f>
        <v>16647.7</v>
      </c>
      <c r="D40" s="8">
        <f>'№5 '!F590</f>
        <v>2665.2000000000003</v>
      </c>
      <c r="E40" s="8">
        <f>'№5 '!G590</f>
        <v>2665.2000000000003</v>
      </c>
    </row>
    <row r="41" spans="1:5" ht="12.75">
      <c r="A41" s="32" t="s">
        <v>91</v>
      </c>
      <c r="B41" s="15" t="s">
        <v>92</v>
      </c>
      <c r="C41" s="8">
        <f>'№5 '!E620</f>
        <v>21451.1</v>
      </c>
      <c r="D41" s="8">
        <f>'№5 '!F620</f>
        <v>18450.399999999998</v>
      </c>
      <c r="E41" s="8">
        <f>'№5 '!G620</f>
        <v>19450.699999999997</v>
      </c>
    </row>
    <row r="42" spans="1:5" ht="12.75">
      <c r="A42" s="5" t="s">
        <v>67</v>
      </c>
      <c r="B42" s="26" t="s">
        <v>35</v>
      </c>
      <c r="C42" s="7">
        <f>C43+C44</f>
        <v>13812.499999999998</v>
      </c>
      <c r="D42" s="7">
        <f aca="true" t="shared" si="7" ref="D42:E42">D43+D44</f>
        <v>11745.399999999998</v>
      </c>
      <c r="E42" s="7">
        <f t="shared" si="7"/>
        <v>11745.399999999998</v>
      </c>
    </row>
    <row r="43" spans="1:5" ht="12.75">
      <c r="A43" s="32" t="s">
        <v>93</v>
      </c>
      <c r="B43" s="15" t="s">
        <v>68</v>
      </c>
      <c r="C43" s="8">
        <f>'№5 '!E639</f>
        <v>13022.699999999999</v>
      </c>
      <c r="D43" s="8">
        <f>'№5 '!F639</f>
        <v>11745.399999999998</v>
      </c>
      <c r="E43" s="8">
        <f>'№5 '!G639</f>
        <v>11745.399999999998</v>
      </c>
    </row>
    <row r="44" spans="1:5" ht="15.6" customHeight="1">
      <c r="A44" s="32" t="s">
        <v>94</v>
      </c>
      <c r="B44" s="15" t="s">
        <v>0</v>
      </c>
      <c r="C44" s="8">
        <f>'№5 '!E684</f>
        <v>789.8</v>
      </c>
      <c r="D44" s="8">
        <f>'№5 '!F684</f>
        <v>0</v>
      </c>
      <c r="E44" s="8">
        <f>'№5 '!G684</f>
        <v>0</v>
      </c>
    </row>
    <row r="45" spans="1:5" ht="15" customHeight="1">
      <c r="A45" s="5" t="s">
        <v>104</v>
      </c>
      <c r="B45" s="26" t="s">
        <v>69</v>
      </c>
      <c r="C45" s="7">
        <f>C46</f>
        <v>2524.2</v>
      </c>
      <c r="D45" s="7">
        <f aca="true" t="shared" si="8" ref="D45:E45">D46</f>
        <v>2068.6</v>
      </c>
      <c r="E45" s="7">
        <f t="shared" si="8"/>
        <v>2068.6</v>
      </c>
    </row>
    <row r="46" spans="1:5" ht="15.6" customHeight="1">
      <c r="A46" s="32" t="s">
        <v>70</v>
      </c>
      <c r="B46" s="15" t="s">
        <v>71</v>
      </c>
      <c r="C46" s="8">
        <f>'№5 '!E694</f>
        <v>2524.2</v>
      </c>
      <c r="D46" s="8">
        <f>'№5 '!F694</f>
        <v>2068.6</v>
      </c>
      <c r="E46" s="8">
        <f>'№5 '!G694</f>
        <v>2068.6</v>
      </c>
    </row>
    <row r="47" spans="1:5" ht="12.75">
      <c r="A47" s="5" t="s">
        <v>105</v>
      </c>
      <c r="B47" s="26" t="s">
        <v>117</v>
      </c>
      <c r="C47" s="7">
        <f>C48</f>
        <v>90.30000000000001</v>
      </c>
      <c r="D47" s="7">
        <f aca="true" t="shared" si="9" ref="D47:E47">D48</f>
        <v>300</v>
      </c>
      <c r="E47" s="7">
        <f t="shared" si="9"/>
        <v>300</v>
      </c>
    </row>
    <row r="48" spans="1:5" ht="30.6" customHeight="1">
      <c r="A48" s="32" t="s">
        <v>106</v>
      </c>
      <c r="B48" s="15" t="s">
        <v>107</v>
      </c>
      <c r="C48" s="8">
        <f>'№5 '!E710</f>
        <v>90.30000000000001</v>
      </c>
      <c r="D48" s="8">
        <f>'№5 '!F710</f>
        <v>300</v>
      </c>
      <c r="E48" s="8">
        <f>'№5 '!G710</f>
        <v>300</v>
      </c>
    </row>
  </sheetData>
  <mergeCells count="7">
    <mergeCell ref="B3:B5"/>
    <mergeCell ref="C4:C5"/>
    <mergeCell ref="A1:E1"/>
    <mergeCell ref="A2:E2"/>
    <mergeCell ref="A3:A5"/>
    <mergeCell ref="C3:E3"/>
    <mergeCell ref="D4:E4"/>
  </mergeCells>
  <printOptions/>
  <pageMargins left="0.7874015748031497" right="0.1968503937007874" top="0.1968503937007874" bottom="0.1968503937007874" header="0.31496062992125984" footer="0.31496062992125984"/>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J870"/>
  <sheetViews>
    <sheetView zoomScale="94" zoomScaleNormal="94" workbookViewId="0" topLeftCell="A853">
      <selection activeCell="A2" sqref="A2:H2"/>
    </sheetView>
  </sheetViews>
  <sheetFormatPr defaultColWidth="8.875" defaultRowHeight="12.75"/>
  <cols>
    <col min="1" max="1" width="6.25390625" style="4" customWidth="1"/>
    <col min="2" max="2" width="5.875" style="4" customWidth="1"/>
    <col min="3" max="3" width="14.75390625" style="4" customWidth="1"/>
    <col min="4" max="4" width="5.75390625" style="4" customWidth="1"/>
    <col min="5" max="5" width="67.75390625" style="39" customWidth="1"/>
    <col min="6" max="6" width="11.625" style="35" customWidth="1"/>
    <col min="7" max="7" width="11.00390625" style="35" customWidth="1"/>
    <col min="8" max="8" width="10.75390625" style="35" customWidth="1"/>
    <col min="9" max="9" width="8.875" style="4" customWidth="1"/>
    <col min="10" max="10" width="13.875" style="159" bestFit="1" customWidth="1"/>
    <col min="11" max="12" width="10.375" style="41" bestFit="1" customWidth="1"/>
    <col min="13" max="16384" width="8.875" style="4" customWidth="1"/>
  </cols>
  <sheetData>
    <row r="1" spans="1:8" ht="48.75" customHeight="1">
      <c r="A1" s="54" t="s">
        <v>72</v>
      </c>
      <c r="B1" s="280" t="s">
        <v>723</v>
      </c>
      <c r="C1" s="280"/>
      <c r="D1" s="280"/>
      <c r="E1" s="280"/>
      <c r="F1" s="280"/>
      <c r="G1" s="280"/>
      <c r="H1" s="280"/>
    </row>
    <row r="2" spans="1:8" ht="38.25" customHeight="1">
      <c r="A2" s="281" t="s">
        <v>121</v>
      </c>
      <c r="B2" s="281"/>
      <c r="C2" s="281"/>
      <c r="D2" s="281"/>
      <c r="E2" s="281"/>
      <c r="F2" s="281"/>
      <c r="G2" s="281"/>
      <c r="H2" s="281"/>
    </row>
    <row r="3" spans="1:8" ht="12.75">
      <c r="A3" s="282" t="s">
        <v>20</v>
      </c>
      <c r="B3" s="282" t="s">
        <v>41</v>
      </c>
      <c r="C3" s="282" t="s">
        <v>21</v>
      </c>
      <c r="D3" s="282" t="s">
        <v>22</v>
      </c>
      <c r="E3" s="283" t="s">
        <v>23</v>
      </c>
      <c r="F3" s="284" t="s">
        <v>97</v>
      </c>
      <c r="G3" s="284"/>
      <c r="H3" s="284"/>
    </row>
    <row r="4" spans="1:8" ht="12.75">
      <c r="A4" s="282" t="s">
        <v>72</v>
      </c>
      <c r="B4" s="282" t="s">
        <v>72</v>
      </c>
      <c r="C4" s="282" t="s">
        <v>72</v>
      </c>
      <c r="D4" s="282" t="s">
        <v>72</v>
      </c>
      <c r="E4" s="283" t="s">
        <v>72</v>
      </c>
      <c r="F4" s="284" t="s">
        <v>98</v>
      </c>
      <c r="G4" s="284" t="s">
        <v>100</v>
      </c>
      <c r="H4" s="284"/>
    </row>
    <row r="5" spans="1:8" ht="12.75">
      <c r="A5" s="282" t="s">
        <v>72</v>
      </c>
      <c r="B5" s="282" t="s">
        <v>72</v>
      </c>
      <c r="C5" s="282" t="s">
        <v>72</v>
      </c>
      <c r="D5" s="282" t="s">
        <v>72</v>
      </c>
      <c r="E5" s="283" t="s">
        <v>72</v>
      </c>
      <c r="F5" s="284" t="s">
        <v>72</v>
      </c>
      <c r="G5" s="143" t="s">
        <v>99</v>
      </c>
      <c r="H5" s="143" t="s">
        <v>119</v>
      </c>
    </row>
    <row r="6" spans="1:8" ht="12.75">
      <c r="A6" s="55" t="s">
        <v>5</v>
      </c>
      <c r="B6" s="55" t="s">
        <v>83</v>
      </c>
      <c r="C6" s="55" t="s">
        <v>84</v>
      </c>
      <c r="D6" s="55" t="s">
        <v>85</v>
      </c>
      <c r="E6" s="57" t="s">
        <v>86</v>
      </c>
      <c r="F6" s="143" t="s">
        <v>87</v>
      </c>
      <c r="G6" s="143" t="s">
        <v>108</v>
      </c>
      <c r="H6" s="143" t="s">
        <v>109</v>
      </c>
    </row>
    <row r="7" spans="1:8" ht="12.75">
      <c r="A7" s="19" t="s">
        <v>72</v>
      </c>
      <c r="B7" s="19" t="s">
        <v>72</v>
      </c>
      <c r="C7" s="19" t="s">
        <v>72</v>
      </c>
      <c r="D7" s="19" t="s">
        <v>72</v>
      </c>
      <c r="E7" s="33" t="s">
        <v>1</v>
      </c>
      <c r="F7" s="34">
        <f>F8+F482+F528+F598+F617+F676</f>
        <v>822957.3999999999</v>
      </c>
      <c r="G7" s="34">
        <f>G8+G482+G528+G598+G617+G676</f>
        <v>615531.9</v>
      </c>
      <c r="H7" s="34">
        <f>H8+H482+H528+H598+H617+H676</f>
        <v>605598.2000000001</v>
      </c>
    </row>
    <row r="8" spans="1:8" ht="12.75">
      <c r="A8" s="19" t="s">
        <v>24</v>
      </c>
      <c r="B8" s="31" t="s">
        <v>72</v>
      </c>
      <c r="C8" s="31" t="s">
        <v>72</v>
      </c>
      <c r="D8" s="31" t="s">
        <v>72</v>
      </c>
      <c r="E8" s="33" t="s">
        <v>89</v>
      </c>
      <c r="F8" s="34">
        <f>F9+F120+F146+F207+F270+F340+F389+F465+F419</f>
        <v>318958.7</v>
      </c>
      <c r="G8" s="34">
        <f>G9+G120+G146+G207+G270+G340+G389+G465+G419</f>
        <v>178297.5</v>
      </c>
      <c r="H8" s="34">
        <f>H9+H120+H146+H207+H270+H340+H389+H465+H419</f>
        <v>168511.5</v>
      </c>
    </row>
    <row r="9" spans="1:8" ht="12.75">
      <c r="A9" s="55" t="s">
        <v>24</v>
      </c>
      <c r="B9" s="55" t="s">
        <v>60</v>
      </c>
      <c r="C9" s="55" t="s">
        <v>72</v>
      </c>
      <c r="D9" s="55" t="s">
        <v>72</v>
      </c>
      <c r="E9" s="16" t="s">
        <v>25</v>
      </c>
      <c r="F9" s="28">
        <f>F10+F16+F37+F50+F43</f>
        <v>50690.59999999999</v>
      </c>
      <c r="G9" s="28">
        <f>G10+G16+G37+G50+G43</f>
        <v>55731.49999999999</v>
      </c>
      <c r="H9" s="28">
        <f>H10+H16+H37+H50+H43</f>
        <v>56785.7</v>
      </c>
    </row>
    <row r="10" spans="1:8" ht="31.5">
      <c r="A10" s="55" t="s">
        <v>24</v>
      </c>
      <c r="B10" s="55" t="s">
        <v>48</v>
      </c>
      <c r="C10" s="55" t="s">
        <v>72</v>
      </c>
      <c r="D10" s="55" t="s">
        <v>72</v>
      </c>
      <c r="E10" s="9" t="s">
        <v>65</v>
      </c>
      <c r="F10" s="28">
        <f>F11</f>
        <v>1782.1</v>
      </c>
      <c r="G10" s="28">
        <f aca="true" t="shared" si="0" ref="G10:H14">G11</f>
        <v>1479</v>
      </c>
      <c r="H10" s="28">
        <f t="shared" si="0"/>
        <v>1479</v>
      </c>
    </row>
    <row r="11" spans="1:8" ht="12.75">
      <c r="A11" s="55" t="s">
        <v>24</v>
      </c>
      <c r="B11" s="55" t="s">
        <v>48</v>
      </c>
      <c r="C11" s="55">
        <v>9900000000</v>
      </c>
      <c r="D11" s="55"/>
      <c r="E11" s="56" t="s">
        <v>131</v>
      </c>
      <c r="F11" s="28">
        <f>F12</f>
        <v>1782.1</v>
      </c>
      <c r="G11" s="28">
        <f t="shared" si="0"/>
        <v>1479</v>
      </c>
      <c r="H11" s="28">
        <f t="shared" si="0"/>
        <v>1479</v>
      </c>
    </row>
    <row r="12" spans="1:8" ht="31.5">
      <c r="A12" s="55" t="s">
        <v>24</v>
      </c>
      <c r="B12" s="55" t="s">
        <v>48</v>
      </c>
      <c r="C12" s="55">
        <v>9990000000</v>
      </c>
      <c r="D12" s="55"/>
      <c r="E12" s="56" t="s">
        <v>199</v>
      </c>
      <c r="F12" s="28">
        <f>F13</f>
        <v>1782.1</v>
      </c>
      <c r="G12" s="28">
        <f t="shared" si="0"/>
        <v>1479</v>
      </c>
      <c r="H12" s="28">
        <f t="shared" si="0"/>
        <v>1479</v>
      </c>
    </row>
    <row r="13" spans="1:8" ht="12.75">
      <c r="A13" s="55" t="s">
        <v>24</v>
      </c>
      <c r="B13" s="55" t="s">
        <v>48</v>
      </c>
      <c r="C13" s="55">
        <v>9990021000</v>
      </c>
      <c r="D13" s="31"/>
      <c r="E13" s="56" t="s">
        <v>200</v>
      </c>
      <c r="F13" s="28">
        <f>F14</f>
        <v>1782.1</v>
      </c>
      <c r="G13" s="28">
        <f t="shared" si="0"/>
        <v>1479</v>
      </c>
      <c r="H13" s="28">
        <f t="shared" si="0"/>
        <v>1479</v>
      </c>
    </row>
    <row r="14" spans="1:8" ht="63">
      <c r="A14" s="55" t="s">
        <v>24</v>
      </c>
      <c r="B14" s="55" t="s">
        <v>48</v>
      </c>
      <c r="C14" s="55">
        <v>9990021000</v>
      </c>
      <c r="D14" s="55" t="s">
        <v>74</v>
      </c>
      <c r="E14" s="56" t="s">
        <v>2</v>
      </c>
      <c r="F14" s="28">
        <f>F15</f>
        <v>1782.1</v>
      </c>
      <c r="G14" s="28">
        <f t="shared" si="0"/>
        <v>1479</v>
      </c>
      <c r="H14" s="28">
        <f t="shared" si="0"/>
        <v>1479</v>
      </c>
    </row>
    <row r="15" spans="1:8" ht="29.25" customHeight="1">
      <c r="A15" s="55" t="s">
        <v>24</v>
      </c>
      <c r="B15" s="55" t="s">
        <v>48</v>
      </c>
      <c r="C15" s="55">
        <v>9990021000</v>
      </c>
      <c r="D15" s="55">
        <v>120</v>
      </c>
      <c r="E15" s="56" t="s">
        <v>471</v>
      </c>
      <c r="F15" s="28">
        <f>1479+303.1</f>
        <v>1782.1</v>
      </c>
      <c r="G15" s="28">
        <v>1479</v>
      </c>
      <c r="H15" s="28">
        <v>1479</v>
      </c>
    </row>
    <row r="16" spans="1:8" ht="47.25">
      <c r="A16" s="55" t="s">
        <v>24</v>
      </c>
      <c r="B16" s="55" t="s">
        <v>50</v>
      </c>
      <c r="C16" s="55" t="s">
        <v>72</v>
      </c>
      <c r="D16" s="55" t="s">
        <v>72</v>
      </c>
      <c r="E16" s="56" t="s">
        <v>27</v>
      </c>
      <c r="F16" s="28">
        <f>F17</f>
        <v>24731.099999999995</v>
      </c>
      <c r="G16" s="28">
        <f aca="true" t="shared" si="1" ref="G16:H18">G17</f>
        <v>18867.899999999998</v>
      </c>
      <c r="H16" s="28">
        <f t="shared" si="1"/>
        <v>18867.899999999998</v>
      </c>
    </row>
    <row r="17" spans="1:8" ht="12.75">
      <c r="A17" s="55" t="s">
        <v>24</v>
      </c>
      <c r="B17" s="55" t="s">
        <v>50</v>
      </c>
      <c r="C17" s="55">
        <v>9900000000</v>
      </c>
      <c r="D17" s="55"/>
      <c r="E17" s="56" t="s">
        <v>131</v>
      </c>
      <c r="F17" s="28">
        <f>F18</f>
        <v>24731.099999999995</v>
      </c>
      <c r="G17" s="28">
        <f t="shared" si="1"/>
        <v>18867.899999999998</v>
      </c>
      <c r="H17" s="28">
        <f t="shared" si="1"/>
        <v>18867.899999999998</v>
      </c>
    </row>
    <row r="18" spans="1:8" ht="31.5">
      <c r="A18" s="55" t="s">
        <v>24</v>
      </c>
      <c r="B18" s="55" t="s">
        <v>50</v>
      </c>
      <c r="C18" s="55">
        <v>9990000000</v>
      </c>
      <c r="D18" s="55"/>
      <c r="E18" s="90" t="s">
        <v>199</v>
      </c>
      <c r="F18" s="28">
        <f>F19</f>
        <v>24731.099999999995</v>
      </c>
      <c r="G18" s="28">
        <f t="shared" si="1"/>
        <v>18867.899999999998</v>
      </c>
      <c r="H18" s="28">
        <f t="shared" si="1"/>
        <v>18867.899999999998</v>
      </c>
    </row>
    <row r="19" spans="1:8" ht="31.5">
      <c r="A19" s="55" t="s">
        <v>24</v>
      </c>
      <c r="B19" s="55" t="s">
        <v>50</v>
      </c>
      <c r="C19" s="55">
        <v>9990200000</v>
      </c>
      <c r="D19" s="31"/>
      <c r="E19" s="90" t="s">
        <v>145</v>
      </c>
      <c r="F19" s="28">
        <f>F25+F34+F20</f>
        <v>24731.099999999995</v>
      </c>
      <c r="G19" s="28">
        <f>G25+G34+G20</f>
        <v>18867.899999999998</v>
      </c>
      <c r="H19" s="28">
        <f>H25+H34+H20</f>
        <v>18867.899999999998</v>
      </c>
    </row>
    <row r="20" spans="1:8" ht="48.75" customHeight="1">
      <c r="A20" s="55" t="s">
        <v>24</v>
      </c>
      <c r="B20" s="55" t="s">
        <v>50</v>
      </c>
      <c r="C20" s="55">
        <v>9990210510</v>
      </c>
      <c r="D20" s="55"/>
      <c r="E20" s="56" t="s">
        <v>202</v>
      </c>
      <c r="F20" s="28">
        <f>F21+F23</f>
        <v>650</v>
      </c>
      <c r="G20" s="28">
        <f aca="true" t="shared" si="2" ref="G20:H20">G21+G23</f>
        <v>650</v>
      </c>
      <c r="H20" s="28">
        <f t="shared" si="2"/>
        <v>650</v>
      </c>
    </row>
    <row r="21" spans="1:8" ht="63">
      <c r="A21" s="55" t="s">
        <v>24</v>
      </c>
      <c r="B21" s="55" t="s">
        <v>50</v>
      </c>
      <c r="C21" s="55">
        <v>9990210510</v>
      </c>
      <c r="D21" s="55" t="s">
        <v>74</v>
      </c>
      <c r="E21" s="56" t="s">
        <v>2</v>
      </c>
      <c r="F21" s="28">
        <f>F22</f>
        <v>575</v>
      </c>
      <c r="G21" s="28">
        <f aca="true" t="shared" si="3" ref="G21:H21">G22</f>
        <v>575</v>
      </c>
      <c r="H21" s="28">
        <f t="shared" si="3"/>
        <v>575</v>
      </c>
    </row>
    <row r="22" spans="1:8" ht="31.5">
      <c r="A22" s="55" t="s">
        <v>24</v>
      </c>
      <c r="B22" s="55" t="s">
        <v>50</v>
      </c>
      <c r="C22" s="55">
        <v>9990210510</v>
      </c>
      <c r="D22" s="55">
        <v>120</v>
      </c>
      <c r="E22" s="56" t="s">
        <v>471</v>
      </c>
      <c r="F22" s="28">
        <v>575</v>
      </c>
      <c r="G22" s="28">
        <v>575</v>
      </c>
      <c r="H22" s="28">
        <v>575</v>
      </c>
    </row>
    <row r="23" spans="1:8" ht="31.5">
      <c r="A23" s="55" t="s">
        <v>24</v>
      </c>
      <c r="B23" s="55" t="s">
        <v>50</v>
      </c>
      <c r="C23" s="55">
        <v>9990210510</v>
      </c>
      <c r="D23" s="55" t="s">
        <v>75</v>
      </c>
      <c r="E23" s="56" t="s">
        <v>110</v>
      </c>
      <c r="F23" s="28">
        <f>F24</f>
        <v>75</v>
      </c>
      <c r="G23" s="28">
        <f aca="true" t="shared" si="4" ref="G23:H23">G24</f>
        <v>75</v>
      </c>
      <c r="H23" s="28">
        <f t="shared" si="4"/>
        <v>75</v>
      </c>
    </row>
    <row r="24" spans="1:8" ht="31.5">
      <c r="A24" s="55" t="s">
        <v>24</v>
      </c>
      <c r="B24" s="55" t="s">
        <v>50</v>
      </c>
      <c r="C24" s="55">
        <v>9990210510</v>
      </c>
      <c r="D24" s="55">
        <v>240</v>
      </c>
      <c r="E24" s="56" t="s">
        <v>469</v>
      </c>
      <c r="F24" s="28">
        <v>75</v>
      </c>
      <c r="G24" s="28">
        <v>75</v>
      </c>
      <c r="H24" s="28">
        <v>75</v>
      </c>
    </row>
    <row r="25" spans="1:8" ht="47.25">
      <c r="A25" s="55" t="s">
        <v>24</v>
      </c>
      <c r="B25" s="55" t="s">
        <v>50</v>
      </c>
      <c r="C25" s="55">
        <v>9990225000</v>
      </c>
      <c r="D25" s="55"/>
      <c r="E25" s="56" t="s">
        <v>146</v>
      </c>
      <c r="F25" s="28">
        <f>F26+F28+F32+F30</f>
        <v>24006.099999999995</v>
      </c>
      <c r="G25" s="28">
        <f aca="true" t="shared" si="5" ref="G25:H25">G26+G28+G32+G30</f>
        <v>18142.899999999998</v>
      </c>
      <c r="H25" s="28">
        <f t="shared" si="5"/>
        <v>18142.899999999998</v>
      </c>
    </row>
    <row r="26" spans="1:8" ht="63">
      <c r="A26" s="55" t="s">
        <v>24</v>
      </c>
      <c r="B26" s="55" t="s">
        <v>50</v>
      </c>
      <c r="C26" s="55">
        <v>9990225000</v>
      </c>
      <c r="D26" s="55" t="s">
        <v>74</v>
      </c>
      <c r="E26" s="56" t="s">
        <v>2</v>
      </c>
      <c r="F26" s="28">
        <f>F27</f>
        <v>21937.199999999997</v>
      </c>
      <c r="G26" s="28">
        <f aca="true" t="shared" si="6" ref="G26:H26">G27</f>
        <v>18142.899999999998</v>
      </c>
      <c r="H26" s="28">
        <f t="shared" si="6"/>
        <v>18142.899999999998</v>
      </c>
    </row>
    <row r="27" spans="1:8" ht="34.9" customHeight="1">
      <c r="A27" s="55" t="s">
        <v>24</v>
      </c>
      <c r="B27" s="55" t="s">
        <v>50</v>
      </c>
      <c r="C27" s="55">
        <v>9990225000</v>
      </c>
      <c r="D27" s="55">
        <v>120</v>
      </c>
      <c r="E27" s="56" t="s">
        <v>471</v>
      </c>
      <c r="F27" s="28">
        <f>22241.6-1819.8-282.9+76-129.3+1851.6</f>
        <v>21937.199999999997</v>
      </c>
      <c r="G27" s="28">
        <f>20586.6-2443.7</f>
        <v>18142.899999999998</v>
      </c>
      <c r="H27" s="28">
        <f>20586.6-2443.7</f>
        <v>18142.899999999998</v>
      </c>
    </row>
    <row r="28" spans="1:8" ht="31.5">
      <c r="A28" s="55" t="s">
        <v>24</v>
      </c>
      <c r="B28" s="55" t="s">
        <v>50</v>
      </c>
      <c r="C28" s="55">
        <v>9990225000</v>
      </c>
      <c r="D28" s="55" t="s">
        <v>75</v>
      </c>
      <c r="E28" s="56" t="s">
        <v>110</v>
      </c>
      <c r="F28" s="28">
        <f>F29</f>
        <v>1857.3000000000002</v>
      </c>
      <c r="G28" s="28">
        <f aca="true" t="shared" si="7" ref="G28:H28">G29</f>
        <v>0</v>
      </c>
      <c r="H28" s="28">
        <f t="shared" si="7"/>
        <v>0</v>
      </c>
    </row>
    <row r="29" spans="1:8" ht="30.6" customHeight="1">
      <c r="A29" s="55" t="s">
        <v>24</v>
      </c>
      <c r="B29" s="55" t="s">
        <v>50</v>
      </c>
      <c r="C29" s="55">
        <v>9990225000</v>
      </c>
      <c r="D29" s="55">
        <v>240</v>
      </c>
      <c r="E29" s="56" t="s">
        <v>469</v>
      </c>
      <c r="F29" s="28">
        <f>1571.4+65.3+1.3-6.6+109.4+15.5+101</f>
        <v>1857.3000000000002</v>
      </c>
      <c r="G29" s="28">
        <v>0</v>
      </c>
      <c r="H29" s="28">
        <v>0</v>
      </c>
    </row>
    <row r="30" spans="1:8" ht="17.25" customHeight="1">
      <c r="A30" s="141" t="s">
        <v>24</v>
      </c>
      <c r="B30" s="141" t="s">
        <v>50</v>
      </c>
      <c r="C30" s="141">
        <v>9990225000</v>
      </c>
      <c r="D30" s="141">
        <v>300</v>
      </c>
      <c r="E30" s="142" t="s">
        <v>80</v>
      </c>
      <c r="F30" s="28">
        <f>F31</f>
        <v>129.3</v>
      </c>
      <c r="G30" s="28">
        <f aca="true" t="shared" si="8" ref="G30:H30">G31</f>
        <v>0</v>
      </c>
      <c r="H30" s="28">
        <f t="shared" si="8"/>
        <v>0</v>
      </c>
    </row>
    <row r="31" spans="1:8" ht="30.6" customHeight="1">
      <c r="A31" s="141" t="s">
        <v>24</v>
      </c>
      <c r="B31" s="141" t="s">
        <v>50</v>
      </c>
      <c r="C31" s="141">
        <v>9990225000</v>
      </c>
      <c r="D31" s="141">
        <v>320</v>
      </c>
      <c r="E31" s="142" t="s">
        <v>128</v>
      </c>
      <c r="F31" s="28">
        <v>129.3</v>
      </c>
      <c r="G31" s="28">
        <v>0</v>
      </c>
      <c r="H31" s="28">
        <v>0</v>
      </c>
    </row>
    <row r="32" spans="1:8" ht="12.75">
      <c r="A32" s="55" t="s">
        <v>24</v>
      </c>
      <c r="B32" s="55" t="s">
        <v>50</v>
      </c>
      <c r="C32" s="55">
        <v>9990225000</v>
      </c>
      <c r="D32" s="55" t="s">
        <v>76</v>
      </c>
      <c r="E32" s="56" t="s">
        <v>77</v>
      </c>
      <c r="F32" s="28">
        <f>F33</f>
        <v>82.30000000000001</v>
      </c>
      <c r="G32" s="28">
        <f aca="true" t="shared" si="9" ref="G32:H32">G33</f>
        <v>0</v>
      </c>
      <c r="H32" s="28">
        <f t="shared" si="9"/>
        <v>0</v>
      </c>
    </row>
    <row r="33" spans="1:8" ht="12.75">
      <c r="A33" s="55" t="s">
        <v>24</v>
      </c>
      <c r="B33" s="55" t="s">
        <v>50</v>
      </c>
      <c r="C33" s="55">
        <v>9990225000</v>
      </c>
      <c r="D33" s="55">
        <v>850</v>
      </c>
      <c r="E33" s="56" t="s">
        <v>126</v>
      </c>
      <c r="F33" s="28">
        <f>36+6.6+39.7</f>
        <v>82.30000000000001</v>
      </c>
      <c r="G33" s="28">
        <v>0</v>
      </c>
      <c r="H33" s="28">
        <v>0</v>
      </c>
    </row>
    <row r="34" spans="1:8" ht="47.25">
      <c r="A34" s="55" t="s">
        <v>24</v>
      </c>
      <c r="B34" s="55" t="s">
        <v>50</v>
      </c>
      <c r="C34" s="55">
        <v>9990226000</v>
      </c>
      <c r="D34" s="55"/>
      <c r="E34" s="56" t="s">
        <v>201</v>
      </c>
      <c r="F34" s="28">
        <f>F35</f>
        <v>75</v>
      </c>
      <c r="G34" s="28">
        <f aca="true" t="shared" si="10" ref="G34:H35">G35</f>
        <v>75</v>
      </c>
      <c r="H34" s="28">
        <f t="shared" si="10"/>
        <v>75</v>
      </c>
    </row>
    <row r="35" spans="1:8" ht="63">
      <c r="A35" s="55" t="s">
        <v>24</v>
      </c>
      <c r="B35" s="55" t="s">
        <v>50</v>
      </c>
      <c r="C35" s="55">
        <v>9990226000</v>
      </c>
      <c r="D35" s="55" t="s">
        <v>74</v>
      </c>
      <c r="E35" s="56" t="s">
        <v>2</v>
      </c>
      <c r="F35" s="28">
        <f>F36</f>
        <v>75</v>
      </c>
      <c r="G35" s="28">
        <f t="shared" si="10"/>
        <v>75</v>
      </c>
      <c r="H35" s="28">
        <f t="shared" si="10"/>
        <v>75</v>
      </c>
    </row>
    <row r="36" spans="1:8" ht="33.6" customHeight="1">
      <c r="A36" s="55" t="s">
        <v>24</v>
      </c>
      <c r="B36" s="55" t="s">
        <v>50</v>
      </c>
      <c r="C36" s="55">
        <v>9990226000</v>
      </c>
      <c r="D36" s="55">
        <v>120</v>
      </c>
      <c r="E36" s="56" t="s">
        <v>471</v>
      </c>
      <c r="F36" s="28">
        <v>75</v>
      </c>
      <c r="G36" s="28">
        <v>75</v>
      </c>
      <c r="H36" s="28">
        <v>75</v>
      </c>
    </row>
    <row r="37" spans="1:8" ht="12.75">
      <c r="A37" s="55" t="s">
        <v>24</v>
      </c>
      <c r="B37" s="10" t="s">
        <v>210</v>
      </c>
      <c r="C37" s="11"/>
      <c r="D37" s="14"/>
      <c r="E37" s="9" t="s">
        <v>211</v>
      </c>
      <c r="F37" s="28">
        <f>F38</f>
        <v>145</v>
      </c>
      <c r="G37" s="28">
        <f aca="true" t="shared" si="11" ref="G37:H41">G38</f>
        <v>9.5</v>
      </c>
      <c r="H37" s="28">
        <f t="shared" si="11"/>
        <v>15.7</v>
      </c>
    </row>
    <row r="38" spans="1:8" ht="12.75">
      <c r="A38" s="55" t="s">
        <v>24</v>
      </c>
      <c r="B38" s="10" t="s">
        <v>210</v>
      </c>
      <c r="C38" s="55">
        <v>9900000000</v>
      </c>
      <c r="D38" s="55"/>
      <c r="E38" s="56" t="s">
        <v>131</v>
      </c>
      <c r="F38" s="28">
        <f>F39</f>
        <v>145</v>
      </c>
      <c r="G38" s="28">
        <f t="shared" si="11"/>
        <v>9.5</v>
      </c>
      <c r="H38" s="28">
        <f t="shared" si="11"/>
        <v>15.7</v>
      </c>
    </row>
    <row r="39" spans="1:8" ht="31.5">
      <c r="A39" s="55" t="s">
        <v>24</v>
      </c>
      <c r="B39" s="10" t="s">
        <v>210</v>
      </c>
      <c r="C39" s="55">
        <v>9930000000</v>
      </c>
      <c r="D39" s="55"/>
      <c r="E39" s="56" t="s">
        <v>212</v>
      </c>
      <c r="F39" s="28">
        <f>F40</f>
        <v>145</v>
      </c>
      <c r="G39" s="28">
        <f t="shared" si="11"/>
        <v>9.5</v>
      </c>
      <c r="H39" s="28">
        <f t="shared" si="11"/>
        <v>15.7</v>
      </c>
    </row>
    <row r="40" spans="1:8" ht="47.25">
      <c r="A40" s="55" t="s">
        <v>24</v>
      </c>
      <c r="B40" s="10" t="s">
        <v>210</v>
      </c>
      <c r="C40" s="55">
        <v>9930051200</v>
      </c>
      <c r="D40" s="55"/>
      <c r="E40" s="56" t="s">
        <v>213</v>
      </c>
      <c r="F40" s="28">
        <f>F41</f>
        <v>145</v>
      </c>
      <c r="G40" s="28">
        <f t="shared" si="11"/>
        <v>9.5</v>
      </c>
      <c r="H40" s="28">
        <f t="shared" si="11"/>
        <v>15.7</v>
      </c>
    </row>
    <row r="41" spans="1:8" ht="31.5">
      <c r="A41" s="55" t="s">
        <v>24</v>
      </c>
      <c r="B41" s="10" t="s">
        <v>210</v>
      </c>
      <c r="C41" s="55">
        <v>9930051200</v>
      </c>
      <c r="D41" s="55" t="s">
        <v>75</v>
      </c>
      <c r="E41" s="56" t="s">
        <v>110</v>
      </c>
      <c r="F41" s="28">
        <f>F42</f>
        <v>145</v>
      </c>
      <c r="G41" s="28">
        <f t="shared" si="11"/>
        <v>9.5</v>
      </c>
      <c r="H41" s="28">
        <f t="shared" si="11"/>
        <v>15.7</v>
      </c>
    </row>
    <row r="42" spans="1:8" ht="36.6" customHeight="1">
      <c r="A42" s="55" t="s">
        <v>24</v>
      </c>
      <c r="B42" s="10" t="s">
        <v>210</v>
      </c>
      <c r="C42" s="55">
        <v>9930051200</v>
      </c>
      <c r="D42" s="55">
        <v>240</v>
      </c>
      <c r="E42" s="56" t="s">
        <v>469</v>
      </c>
      <c r="F42" s="28">
        <v>145</v>
      </c>
      <c r="G42" s="28">
        <v>9.5</v>
      </c>
      <c r="H42" s="28">
        <v>15.7</v>
      </c>
    </row>
    <row r="43" spans="1:8" ht="12.75">
      <c r="A43" s="55" t="s">
        <v>24</v>
      </c>
      <c r="B43" s="29" t="s">
        <v>304</v>
      </c>
      <c r="C43" s="55"/>
      <c r="D43" s="55"/>
      <c r="E43" s="51" t="s">
        <v>306</v>
      </c>
      <c r="F43" s="28">
        <f aca="true" t="shared" si="12" ref="F43:F48">F44</f>
        <v>88.6</v>
      </c>
      <c r="G43" s="28">
        <f aca="true" t="shared" si="13" ref="G43:H48">G44</f>
        <v>88.6</v>
      </c>
      <c r="H43" s="28">
        <f t="shared" si="13"/>
        <v>88.6</v>
      </c>
    </row>
    <row r="44" spans="1:8" ht="47.25">
      <c r="A44" s="55" t="s">
        <v>24</v>
      </c>
      <c r="B44" s="10" t="s">
        <v>304</v>
      </c>
      <c r="C44" s="57">
        <v>1200000000</v>
      </c>
      <c r="D44" s="55"/>
      <c r="E44" s="56" t="s">
        <v>242</v>
      </c>
      <c r="F44" s="28">
        <f t="shared" si="12"/>
        <v>88.6</v>
      </c>
      <c r="G44" s="28">
        <f t="shared" si="13"/>
        <v>88.6</v>
      </c>
      <c r="H44" s="28">
        <f t="shared" si="13"/>
        <v>88.6</v>
      </c>
    </row>
    <row r="45" spans="1:8" ht="31.5">
      <c r="A45" s="55" t="s">
        <v>24</v>
      </c>
      <c r="B45" s="10" t="s">
        <v>304</v>
      </c>
      <c r="C45" s="55">
        <v>1240000000</v>
      </c>
      <c r="D45" s="55"/>
      <c r="E45" s="56" t="s">
        <v>171</v>
      </c>
      <c r="F45" s="28">
        <f t="shared" si="12"/>
        <v>88.6</v>
      </c>
      <c r="G45" s="28">
        <f t="shared" si="13"/>
        <v>88.6</v>
      </c>
      <c r="H45" s="28">
        <f t="shared" si="13"/>
        <v>88.6</v>
      </c>
    </row>
    <row r="46" spans="1:8" ht="33.75" customHeight="1">
      <c r="A46" s="55" t="s">
        <v>24</v>
      </c>
      <c r="B46" s="29" t="s">
        <v>304</v>
      </c>
      <c r="C46" s="55">
        <v>1240500000</v>
      </c>
      <c r="D46" s="55"/>
      <c r="E46" s="56" t="s">
        <v>172</v>
      </c>
      <c r="F46" s="28">
        <f t="shared" si="12"/>
        <v>88.6</v>
      </c>
      <c r="G46" s="28">
        <f t="shared" si="13"/>
        <v>88.6</v>
      </c>
      <c r="H46" s="28">
        <f t="shared" si="13"/>
        <v>88.6</v>
      </c>
    </row>
    <row r="47" spans="1:8" ht="31.5">
      <c r="A47" s="55" t="s">
        <v>24</v>
      </c>
      <c r="B47" s="10" t="s">
        <v>304</v>
      </c>
      <c r="C47" s="55">
        <v>1240520410</v>
      </c>
      <c r="D47" s="55"/>
      <c r="E47" s="56" t="s">
        <v>284</v>
      </c>
      <c r="F47" s="28">
        <f t="shared" si="12"/>
        <v>88.6</v>
      </c>
      <c r="G47" s="28">
        <f t="shared" si="13"/>
        <v>88.6</v>
      </c>
      <c r="H47" s="28">
        <f t="shared" si="13"/>
        <v>88.6</v>
      </c>
    </row>
    <row r="48" spans="1:8" ht="12.75">
      <c r="A48" s="55" t="s">
        <v>24</v>
      </c>
      <c r="B48" s="10" t="s">
        <v>304</v>
      </c>
      <c r="C48" s="55">
        <v>1240520410</v>
      </c>
      <c r="D48" s="55" t="s">
        <v>76</v>
      </c>
      <c r="E48" s="56" t="s">
        <v>77</v>
      </c>
      <c r="F48" s="28">
        <f t="shared" si="12"/>
        <v>88.6</v>
      </c>
      <c r="G48" s="28">
        <f t="shared" si="13"/>
        <v>88.6</v>
      </c>
      <c r="H48" s="28">
        <f t="shared" si="13"/>
        <v>88.6</v>
      </c>
    </row>
    <row r="49" spans="1:8" ht="34.15" customHeight="1">
      <c r="A49" s="55" t="s">
        <v>24</v>
      </c>
      <c r="B49" s="10" t="s">
        <v>304</v>
      </c>
      <c r="C49" s="55">
        <v>1240520410</v>
      </c>
      <c r="D49" s="55">
        <v>860</v>
      </c>
      <c r="E49" s="56" t="s">
        <v>472</v>
      </c>
      <c r="F49" s="28">
        <v>88.6</v>
      </c>
      <c r="G49" s="28">
        <v>88.6</v>
      </c>
      <c r="H49" s="28">
        <v>88.6</v>
      </c>
    </row>
    <row r="50" spans="1:8" ht="12.75">
      <c r="A50" s="55" t="s">
        <v>24</v>
      </c>
      <c r="B50" s="55" t="s">
        <v>66</v>
      </c>
      <c r="C50" s="55" t="s">
        <v>72</v>
      </c>
      <c r="D50" s="55" t="s">
        <v>72</v>
      </c>
      <c r="E50" s="56" t="s">
        <v>28</v>
      </c>
      <c r="F50" s="28">
        <f>F51+F66+F95+F72</f>
        <v>23943.8</v>
      </c>
      <c r="G50" s="28">
        <f>G51+G66+G95+G72</f>
        <v>35286.5</v>
      </c>
      <c r="H50" s="28">
        <f>H51+H66+H95+H72</f>
        <v>36334.5</v>
      </c>
    </row>
    <row r="51" spans="1:8" ht="47.25">
      <c r="A51" s="55" t="s">
        <v>24</v>
      </c>
      <c r="B51" s="55" t="s">
        <v>66</v>
      </c>
      <c r="C51" s="57">
        <v>1200000000</v>
      </c>
      <c r="D51" s="55"/>
      <c r="E51" s="56" t="s">
        <v>242</v>
      </c>
      <c r="F51" s="28">
        <f>F52</f>
        <v>706.5</v>
      </c>
      <c r="G51" s="28">
        <f aca="true" t="shared" si="14" ref="G51:H51">G52</f>
        <v>682.5</v>
      </c>
      <c r="H51" s="28">
        <f t="shared" si="14"/>
        <v>682.5</v>
      </c>
    </row>
    <row r="52" spans="1:8" ht="31.5">
      <c r="A52" s="55" t="s">
        <v>24</v>
      </c>
      <c r="B52" s="55" t="s">
        <v>66</v>
      </c>
      <c r="C52" s="55">
        <v>1240000000</v>
      </c>
      <c r="D52" s="55"/>
      <c r="E52" s="56" t="s">
        <v>171</v>
      </c>
      <c r="F52" s="28">
        <f>F53+F59</f>
        <v>706.5</v>
      </c>
      <c r="G52" s="28">
        <f aca="true" t="shared" si="15" ref="G52:H52">G53+G59</f>
        <v>682.5</v>
      </c>
      <c r="H52" s="28">
        <f t="shared" si="15"/>
        <v>682.5</v>
      </c>
    </row>
    <row r="53" spans="1:8" ht="31.5">
      <c r="A53" s="55" t="s">
        <v>24</v>
      </c>
      <c r="B53" s="55" t="s">
        <v>66</v>
      </c>
      <c r="C53" s="55">
        <v>1240200000</v>
      </c>
      <c r="D53" s="55"/>
      <c r="E53" s="56" t="s">
        <v>192</v>
      </c>
      <c r="F53" s="28">
        <f>F54</f>
        <v>62.4</v>
      </c>
      <c r="G53" s="28">
        <f aca="true" t="shared" si="16" ref="G53:H53">G54</f>
        <v>62.4</v>
      </c>
      <c r="H53" s="28">
        <f t="shared" si="16"/>
        <v>62.4</v>
      </c>
    </row>
    <row r="54" spans="1:8" ht="12.75">
      <c r="A54" s="55" t="s">
        <v>24</v>
      </c>
      <c r="B54" s="55" t="s">
        <v>66</v>
      </c>
      <c r="C54" s="55">
        <v>1240220340</v>
      </c>
      <c r="D54" s="55"/>
      <c r="E54" s="56" t="s">
        <v>203</v>
      </c>
      <c r="F54" s="28">
        <f>F55+F57</f>
        <v>62.4</v>
      </c>
      <c r="G54" s="28">
        <f aca="true" t="shared" si="17" ref="G54:H54">G55+G57</f>
        <v>62.4</v>
      </c>
      <c r="H54" s="28">
        <f t="shared" si="17"/>
        <v>62.4</v>
      </c>
    </row>
    <row r="55" spans="1:8" ht="31.5">
      <c r="A55" s="55" t="s">
        <v>24</v>
      </c>
      <c r="B55" s="55" t="s">
        <v>66</v>
      </c>
      <c r="C55" s="55">
        <v>1240220340</v>
      </c>
      <c r="D55" s="57" t="s">
        <v>75</v>
      </c>
      <c r="E55" s="56" t="s">
        <v>110</v>
      </c>
      <c r="F55" s="28">
        <f>F56</f>
        <v>47.4</v>
      </c>
      <c r="G55" s="28">
        <f aca="true" t="shared" si="18" ref="G55:H55">G56</f>
        <v>47.4</v>
      </c>
      <c r="H55" s="28">
        <f t="shared" si="18"/>
        <v>47.4</v>
      </c>
    </row>
    <row r="56" spans="1:8" ht="36" customHeight="1">
      <c r="A56" s="55" t="s">
        <v>24</v>
      </c>
      <c r="B56" s="55" t="s">
        <v>66</v>
      </c>
      <c r="C56" s="55">
        <v>1240220340</v>
      </c>
      <c r="D56" s="55">
        <v>240</v>
      </c>
      <c r="E56" s="199" t="s">
        <v>469</v>
      </c>
      <c r="F56" s="28">
        <v>47.4</v>
      </c>
      <c r="G56" s="28">
        <v>47.4</v>
      </c>
      <c r="H56" s="28">
        <v>47.4</v>
      </c>
    </row>
    <row r="57" spans="1:8" ht="12.75">
      <c r="A57" s="55" t="s">
        <v>24</v>
      </c>
      <c r="B57" s="55" t="s">
        <v>66</v>
      </c>
      <c r="C57" s="55">
        <v>1240220340</v>
      </c>
      <c r="D57" s="57" t="s">
        <v>79</v>
      </c>
      <c r="E57" s="56" t="s">
        <v>80</v>
      </c>
      <c r="F57" s="28">
        <f>F58</f>
        <v>15</v>
      </c>
      <c r="G57" s="28">
        <f aca="true" t="shared" si="19" ref="G57:H57">G58</f>
        <v>15</v>
      </c>
      <c r="H57" s="28">
        <f t="shared" si="19"/>
        <v>15</v>
      </c>
    </row>
    <row r="58" spans="1:8" ht="12.75">
      <c r="A58" s="55" t="s">
        <v>24</v>
      </c>
      <c r="B58" s="55" t="s">
        <v>66</v>
      </c>
      <c r="C58" s="55">
        <v>1240220340</v>
      </c>
      <c r="D58" s="55">
        <v>350</v>
      </c>
      <c r="E58" s="22" t="s">
        <v>204</v>
      </c>
      <c r="F58" s="28">
        <v>15</v>
      </c>
      <c r="G58" s="28">
        <v>15</v>
      </c>
      <c r="H58" s="28">
        <v>15</v>
      </c>
    </row>
    <row r="59" spans="1:8" ht="31.5">
      <c r="A59" s="55" t="s">
        <v>24</v>
      </c>
      <c r="B59" s="55" t="s">
        <v>66</v>
      </c>
      <c r="C59" s="55">
        <v>1240500000</v>
      </c>
      <c r="D59" s="55"/>
      <c r="E59" s="56" t="s">
        <v>172</v>
      </c>
      <c r="F59" s="28">
        <f>F60+F63</f>
        <v>644.1</v>
      </c>
      <c r="G59" s="28">
        <f aca="true" t="shared" si="20" ref="G59:H59">G60+G63</f>
        <v>620.1</v>
      </c>
      <c r="H59" s="28">
        <f t="shared" si="20"/>
        <v>620.1</v>
      </c>
    </row>
    <row r="60" spans="1:8" ht="31.5">
      <c r="A60" s="55" t="s">
        <v>24</v>
      </c>
      <c r="B60" s="55" t="s">
        <v>66</v>
      </c>
      <c r="C60" s="55">
        <v>1240520410</v>
      </c>
      <c r="D60" s="55"/>
      <c r="E60" s="165" t="s">
        <v>284</v>
      </c>
      <c r="F60" s="28">
        <f>F61</f>
        <v>128.70000000000002</v>
      </c>
      <c r="G60" s="28">
        <f aca="true" t="shared" si="21" ref="G60:H61">G61</f>
        <v>104.70000000000002</v>
      </c>
      <c r="H60" s="28">
        <f t="shared" si="21"/>
        <v>104.70000000000002</v>
      </c>
    </row>
    <row r="61" spans="1:8" ht="12.75">
      <c r="A61" s="55" t="s">
        <v>24</v>
      </c>
      <c r="B61" s="55" t="s">
        <v>66</v>
      </c>
      <c r="C61" s="55">
        <v>1240520410</v>
      </c>
      <c r="D61" s="55" t="s">
        <v>76</v>
      </c>
      <c r="E61" s="56" t="s">
        <v>77</v>
      </c>
      <c r="F61" s="28">
        <f>F62</f>
        <v>128.70000000000002</v>
      </c>
      <c r="G61" s="28">
        <f t="shared" si="21"/>
        <v>104.70000000000002</v>
      </c>
      <c r="H61" s="28">
        <f t="shared" si="21"/>
        <v>104.70000000000002</v>
      </c>
    </row>
    <row r="62" spans="1:8" ht="12.75">
      <c r="A62" s="55" t="s">
        <v>24</v>
      </c>
      <c r="B62" s="55" t="s">
        <v>66</v>
      </c>
      <c r="C62" s="55">
        <v>1240520410</v>
      </c>
      <c r="D62" s="55">
        <v>850</v>
      </c>
      <c r="E62" s="56" t="s">
        <v>126</v>
      </c>
      <c r="F62" s="28">
        <f>193.3-88.6+24</f>
        <v>128.70000000000002</v>
      </c>
      <c r="G62" s="28">
        <f>193.3-88.6</f>
        <v>104.70000000000002</v>
      </c>
      <c r="H62" s="28">
        <f>193.3-88.6</f>
        <v>104.70000000000002</v>
      </c>
    </row>
    <row r="63" spans="1:8" ht="31.5">
      <c r="A63" s="55" t="s">
        <v>24</v>
      </c>
      <c r="B63" s="55" t="s">
        <v>66</v>
      </c>
      <c r="C63" s="55">
        <v>1240520460</v>
      </c>
      <c r="D63" s="55"/>
      <c r="E63" s="56" t="s">
        <v>310</v>
      </c>
      <c r="F63" s="28">
        <f>F64</f>
        <v>515.4</v>
      </c>
      <c r="G63" s="28">
        <f aca="true" t="shared" si="22" ref="G63:H64">G64</f>
        <v>515.4</v>
      </c>
      <c r="H63" s="28">
        <f t="shared" si="22"/>
        <v>515.4</v>
      </c>
    </row>
    <row r="64" spans="1:8" ht="31.5">
      <c r="A64" s="55" t="s">
        <v>24</v>
      </c>
      <c r="B64" s="55" t="s">
        <v>66</v>
      </c>
      <c r="C64" s="55">
        <v>1240520460</v>
      </c>
      <c r="D64" s="57" t="s">
        <v>75</v>
      </c>
      <c r="E64" s="56" t="s">
        <v>110</v>
      </c>
      <c r="F64" s="28">
        <f>F65</f>
        <v>515.4</v>
      </c>
      <c r="G64" s="28">
        <f t="shared" si="22"/>
        <v>515.4</v>
      </c>
      <c r="H64" s="28">
        <f t="shared" si="22"/>
        <v>515.4</v>
      </c>
    </row>
    <row r="65" spans="1:8" ht="33" customHeight="1">
      <c r="A65" s="55" t="s">
        <v>24</v>
      </c>
      <c r="B65" s="55" t="s">
        <v>66</v>
      </c>
      <c r="C65" s="55">
        <v>1240520460</v>
      </c>
      <c r="D65" s="55">
        <v>240</v>
      </c>
      <c r="E65" s="199" t="s">
        <v>469</v>
      </c>
      <c r="F65" s="28">
        <v>515.4</v>
      </c>
      <c r="G65" s="28">
        <v>515.4</v>
      </c>
      <c r="H65" s="28">
        <v>515.4</v>
      </c>
    </row>
    <row r="66" spans="1:8" ht="31.5">
      <c r="A66" s="55" t="s">
        <v>24</v>
      </c>
      <c r="B66" s="55" t="s">
        <v>66</v>
      </c>
      <c r="C66" s="57">
        <v>1500000000</v>
      </c>
      <c r="D66" s="55"/>
      <c r="E66" s="56" t="s">
        <v>243</v>
      </c>
      <c r="F66" s="28">
        <f>F67</f>
        <v>109.2</v>
      </c>
      <c r="G66" s="28">
        <f aca="true" t="shared" si="23" ref="G66:H70">G67</f>
        <v>111.4</v>
      </c>
      <c r="H66" s="28">
        <f t="shared" si="23"/>
        <v>111.4</v>
      </c>
    </row>
    <row r="67" spans="1:8" ht="12.75">
      <c r="A67" s="55" t="s">
        <v>24</v>
      </c>
      <c r="B67" s="55" t="s">
        <v>66</v>
      </c>
      <c r="C67" s="55">
        <v>1510000000</v>
      </c>
      <c r="D67" s="55"/>
      <c r="E67" s="56" t="s">
        <v>206</v>
      </c>
      <c r="F67" s="28">
        <f>F68</f>
        <v>109.2</v>
      </c>
      <c r="G67" s="28">
        <f t="shared" si="23"/>
        <v>111.4</v>
      </c>
      <c r="H67" s="28">
        <f t="shared" si="23"/>
        <v>111.4</v>
      </c>
    </row>
    <row r="68" spans="1:8" ht="47.25">
      <c r="A68" s="55" t="s">
        <v>24</v>
      </c>
      <c r="B68" s="55" t="s">
        <v>66</v>
      </c>
      <c r="C68" s="55">
        <v>1510200000</v>
      </c>
      <c r="D68" s="55"/>
      <c r="E68" s="56" t="s">
        <v>244</v>
      </c>
      <c r="F68" s="28">
        <f>F69</f>
        <v>109.2</v>
      </c>
      <c r="G68" s="28">
        <f t="shared" si="23"/>
        <v>111.4</v>
      </c>
      <c r="H68" s="28">
        <f t="shared" si="23"/>
        <v>111.4</v>
      </c>
    </row>
    <row r="69" spans="1:8" ht="31.5">
      <c r="A69" s="55" t="s">
        <v>24</v>
      </c>
      <c r="B69" s="55" t="s">
        <v>66</v>
      </c>
      <c r="C69" s="55">
        <v>1510220170</v>
      </c>
      <c r="D69" s="55"/>
      <c r="E69" s="56" t="s">
        <v>245</v>
      </c>
      <c r="F69" s="28">
        <f>F70</f>
        <v>109.2</v>
      </c>
      <c r="G69" s="28">
        <f t="shared" si="23"/>
        <v>111.4</v>
      </c>
      <c r="H69" s="28">
        <f t="shared" si="23"/>
        <v>111.4</v>
      </c>
    </row>
    <row r="70" spans="1:8" ht="12.75">
      <c r="A70" s="55" t="s">
        <v>24</v>
      </c>
      <c r="B70" s="55" t="s">
        <v>66</v>
      </c>
      <c r="C70" s="55">
        <v>1510220170</v>
      </c>
      <c r="D70" s="57" t="s">
        <v>79</v>
      </c>
      <c r="E70" s="56" t="s">
        <v>80</v>
      </c>
      <c r="F70" s="28">
        <f>F71</f>
        <v>109.2</v>
      </c>
      <c r="G70" s="28">
        <f t="shared" si="23"/>
        <v>111.4</v>
      </c>
      <c r="H70" s="28">
        <f t="shared" si="23"/>
        <v>111.4</v>
      </c>
    </row>
    <row r="71" spans="1:8" ht="12.75">
      <c r="A71" s="55" t="s">
        <v>24</v>
      </c>
      <c r="B71" s="55" t="s">
        <v>66</v>
      </c>
      <c r="C71" s="55">
        <v>1510220170</v>
      </c>
      <c r="D71" s="1" t="s">
        <v>208</v>
      </c>
      <c r="E71" s="22" t="s">
        <v>207</v>
      </c>
      <c r="F71" s="28">
        <v>109.2</v>
      </c>
      <c r="G71" s="28">
        <v>111.4</v>
      </c>
      <c r="H71" s="28">
        <v>111.4</v>
      </c>
    </row>
    <row r="72" spans="1:8" ht="47.25">
      <c r="A72" s="55" t="s">
        <v>24</v>
      </c>
      <c r="B72" s="55" t="s">
        <v>66</v>
      </c>
      <c r="C72" s="57">
        <v>1600000000</v>
      </c>
      <c r="D72" s="57"/>
      <c r="E72" s="88" t="s">
        <v>140</v>
      </c>
      <c r="F72" s="28">
        <f>F90+F78+F73</f>
        <v>1542.4</v>
      </c>
      <c r="G72" s="28">
        <f>G90+G78+G73</f>
        <v>3611.7</v>
      </c>
      <c r="H72" s="28">
        <f>H90+H78+H73</f>
        <v>4659.7</v>
      </c>
    </row>
    <row r="73" spans="1:8" ht="31.5">
      <c r="A73" s="55" t="s">
        <v>24</v>
      </c>
      <c r="B73" s="57" t="s">
        <v>66</v>
      </c>
      <c r="C73" s="57">
        <v>1620000000</v>
      </c>
      <c r="D73" s="57"/>
      <c r="E73" s="56" t="s">
        <v>133</v>
      </c>
      <c r="F73" s="28">
        <f>F74</f>
        <v>0</v>
      </c>
      <c r="G73" s="28">
        <f aca="true" t="shared" si="24" ref="G73:H73">G74</f>
        <v>2122.2</v>
      </c>
      <c r="H73" s="28">
        <f t="shared" si="24"/>
        <v>2122.2</v>
      </c>
    </row>
    <row r="74" spans="1:8" ht="12.75">
      <c r="A74" s="55" t="s">
        <v>24</v>
      </c>
      <c r="B74" s="57" t="s">
        <v>66</v>
      </c>
      <c r="C74" s="57">
        <v>1620100000</v>
      </c>
      <c r="D74" s="57"/>
      <c r="E74" s="56" t="s">
        <v>134</v>
      </c>
      <c r="F74" s="28">
        <f>F75</f>
        <v>0</v>
      </c>
      <c r="G74" s="28">
        <f>G75</f>
        <v>2122.2</v>
      </c>
      <c r="H74" s="28">
        <f>H75</f>
        <v>2122.2</v>
      </c>
    </row>
    <row r="75" spans="1:8" ht="12.75">
      <c r="A75" s="55" t="s">
        <v>24</v>
      </c>
      <c r="B75" s="57" t="s">
        <v>66</v>
      </c>
      <c r="C75" s="57">
        <v>1620120210</v>
      </c>
      <c r="D75" s="25"/>
      <c r="E75" s="56" t="s">
        <v>135</v>
      </c>
      <c r="F75" s="28">
        <f>F76</f>
        <v>0</v>
      </c>
      <c r="G75" s="28">
        <f aca="true" t="shared" si="25" ref="G75:H76">G76</f>
        <v>2122.2</v>
      </c>
      <c r="H75" s="28">
        <f t="shared" si="25"/>
        <v>2122.2</v>
      </c>
    </row>
    <row r="76" spans="1:8" ht="31.5">
      <c r="A76" s="55" t="s">
        <v>24</v>
      </c>
      <c r="B76" s="57" t="s">
        <v>66</v>
      </c>
      <c r="C76" s="57">
        <v>1620120210</v>
      </c>
      <c r="D76" s="57" t="s">
        <v>75</v>
      </c>
      <c r="E76" s="56" t="s">
        <v>110</v>
      </c>
      <c r="F76" s="28">
        <f>F77</f>
        <v>0</v>
      </c>
      <c r="G76" s="28">
        <f t="shared" si="25"/>
        <v>2122.2</v>
      </c>
      <c r="H76" s="28">
        <f t="shared" si="25"/>
        <v>2122.2</v>
      </c>
    </row>
    <row r="77" spans="1:8" ht="34.15" customHeight="1">
      <c r="A77" s="55" t="s">
        <v>24</v>
      </c>
      <c r="B77" s="57" t="s">
        <v>66</v>
      </c>
      <c r="C77" s="57">
        <v>1620120210</v>
      </c>
      <c r="D77" s="55">
        <v>240</v>
      </c>
      <c r="E77" s="199" t="s">
        <v>469</v>
      </c>
      <c r="F77" s="28">
        <v>0</v>
      </c>
      <c r="G77" s="28">
        <v>2122.2</v>
      </c>
      <c r="H77" s="28">
        <v>2122.2</v>
      </c>
    </row>
    <row r="78" spans="1:8" ht="47.25">
      <c r="A78" s="55" t="s">
        <v>24</v>
      </c>
      <c r="B78" s="55" t="s">
        <v>66</v>
      </c>
      <c r="C78" s="57">
        <v>1630000000</v>
      </c>
      <c r="D78" s="55"/>
      <c r="E78" s="56" t="s">
        <v>286</v>
      </c>
      <c r="F78" s="28">
        <f>F79+F86</f>
        <v>1516.4</v>
      </c>
      <c r="G78" s="28">
        <f>G79+G86</f>
        <v>1463</v>
      </c>
      <c r="H78" s="28">
        <f>H79+H86</f>
        <v>2511</v>
      </c>
    </row>
    <row r="79" spans="1:8" ht="47.25">
      <c r="A79" s="55" t="s">
        <v>24</v>
      </c>
      <c r="B79" s="57" t="s">
        <v>66</v>
      </c>
      <c r="C79" s="55">
        <v>1630100000</v>
      </c>
      <c r="D79" s="55"/>
      <c r="E79" s="88" t="s">
        <v>287</v>
      </c>
      <c r="F79" s="28">
        <f>F80+F83</f>
        <v>1372.4</v>
      </c>
      <c r="G79" s="28">
        <f aca="true" t="shared" si="26" ref="G79:H79">G80+G83</f>
        <v>1283</v>
      </c>
      <c r="H79" s="28">
        <f t="shared" si="26"/>
        <v>2331</v>
      </c>
    </row>
    <row r="80" spans="1:8" ht="47.25">
      <c r="A80" s="55" t="s">
        <v>24</v>
      </c>
      <c r="B80" s="55" t="s">
        <v>66</v>
      </c>
      <c r="C80" s="55">
        <v>1630120180</v>
      </c>
      <c r="D80" s="55"/>
      <c r="E80" s="56" t="s">
        <v>288</v>
      </c>
      <c r="F80" s="28">
        <f>F81</f>
        <v>810.4</v>
      </c>
      <c r="G80" s="28">
        <f aca="true" t="shared" si="27" ref="G80:H81">G81</f>
        <v>726.2</v>
      </c>
      <c r="H80" s="28">
        <f t="shared" si="27"/>
        <v>1774.2</v>
      </c>
    </row>
    <row r="81" spans="1:8" ht="31.5">
      <c r="A81" s="55" t="s">
        <v>24</v>
      </c>
      <c r="B81" s="57" t="s">
        <v>66</v>
      </c>
      <c r="C81" s="55">
        <v>1630120180</v>
      </c>
      <c r="D81" s="55" t="s">
        <v>75</v>
      </c>
      <c r="E81" s="56" t="s">
        <v>110</v>
      </c>
      <c r="F81" s="28">
        <f>F82</f>
        <v>810.4</v>
      </c>
      <c r="G81" s="28">
        <f t="shared" si="27"/>
        <v>726.2</v>
      </c>
      <c r="H81" s="28">
        <f t="shared" si="27"/>
        <v>1774.2</v>
      </c>
    </row>
    <row r="82" spans="1:8" ht="33" customHeight="1">
      <c r="A82" s="55" t="s">
        <v>24</v>
      </c>
      <c r="B82" s="57" t="s">
        <v>66</v>
      </c>
      <c r="C82" s="55">
        <v>1630120180</v>
      </c>
      <c r="D82" s="55">
        <v>240</v>
      </c>
      <c r="E82" s="56" t="s">
        <v>125</v>
      </c>
      <c r="F82" s="28">
        <f>605-66+325.9-54.5</f>
        <v>810.4</v>
      </c>
      <c r="G82" s="28">
        <f>587.2+139</f>
        <v>726.2</v>
      </c>
      <c r="H82" s="28">
        <v>1774.2</v>
      </c>
    </row>
    <row r="83" spans="1:8" ht="47.25">
      <c r="A83" s="55" t="s">
        <v>24</v>
      </c>
      <c r="B83" s="55" t="s">
        <v>66</v>
      </c>
      <c r="C83" s="55">
        <v>1630120520</v>
      </c>
      <c r="D83" s="55"/>
      <c r="E83" s="56" t="s">
        <v>298</v>
      </c>
      <c r="F83" s="28">
        <f>F84</f>
        <v>562</v>
      </c>
      <c r="G83" s="28">
        <f aca="true" t="shared" si="28" ref="G83:H84">G84</f>
        <v>556.8</v>
      </c>
      <c r="H83" s="28">
        <f t="shared" si="28"/>
        <v>556.8</v>
      </c>
    </row>
    <row r="84" spans="1:8" ht="31.5">
      <c r="A84" s="55" t="s">
        <v>24</v>
      </c>
      <c r="B84" s="57" t="s">
        <v>66</v>
      </c>
      <c r="C84" s="55">
        <v>1630120520</v>
      </c>
      <c r="D84" s="55" t="s">
        <v>75</v>
      </c>
      <c r="E84" s="56" t="s">
        <v>110</v>
      </c>
      <c r="F84" s="28">
        <f>F85</f>
        <v>562</v>
      </c>
      <c r="G84" s="28">
        <f t="shared" si="28"/>
        <v>556.8</v>
      </c>
      <c r="H84" s="28">
        <f t="shared" si="28"/>
        <v>556.8</v>
      </c>
    </row>
    <row r="85" spans="1:8" ht="33.6" customHeight="1">
      <c r="A85" s="55" t="s">
        <v>24</v>
      </c>
      <c r="B85" s="57" t="s">
        <v>66</v>
      </c>
      <c r="C85" s="55">
        <v>1630120520</v>
      </c>
      <c r="D85" s="55">
        <v>240</v>
      </c>
      <c r="E85" s="199" t="s">
        <v>469</v>
      </c>
      <c r="F85" s="28">
        <f>562-54.5+54.5</f>
        <v>562</v>
      </c>
      <c r="G85" s="28">
        <v>556.8</v>
      </c>
      <c r="H85" s="28">
        <v>556.8</v>
      </c>
    </row>
    <row r="86" spans="1:8" ht="47.25">
      <c r="A86" s="55" t="s">
        <v>24</v>
      </c>
      <c r="B86" s="55" t="s">
        <v>66</v>
      </c>
      <c r="C86" s="55">
        <v>1630200000</v>
      </c>
      <c r="D86" s="55"/>
      <c r="E86" s="56" t="s">
        <v>289</v>
      </c>
      <c r="F86" s="28">
        <f>F87</f>
        <v>144</v>
      </c>
      <c r="G86" s="28">
        <f aca="true" t="shared" si="29" ref="G86:H88">G87</f>
        <v>180</v>
      </c>
      <c r="H86" s="28">
        <f t="shared" si="29"/>
        <v>180</v>
      </c>
    </row>
    <row r="87" spans="1:8" ht="21" customHeight="1">
      <c r="A87" s="55" t="s">
        <v>24</v>
      </c>
      <c r="B87" s="57" t="s">
        <v>66</v>
      </c>
      <c r="C87" s="55">
        <v>1630220530</v>
      </c>
      <c r="D87" s="55"/>
      <c r="E87" s="56" t="s">
        <v>290</v>
      </c>
      <c r="F87" s="28">
        <f>F88</f>
        <v>144</v>
      </c>
      <c r="G87" s="28">
        <f t="shared" si="29"/>
        <v>180</v>
      </c>
      <c r="H87" s="28">
        <f t="shared" si="29"/>
        <v>180</v>
      </c>
    </row>
    <row r="88" spans="1:8" ht="31.5">
      <c r="A88" s="55" t="s">
        <v>24</v>
      </c>
      <c r="B88" s="57" t="s">
        <v>66</v>
      </c>
      <c r="C88" s="55">
        <v>1630220530</v>
      </c>
      <c r="D88" s="55" t="s">
        <v>75</v>
      </c>
      <c r="E88" s="56" t="s">
        <v>110</v>
      </c>
      <c r="F88" s="28">
        <f>F89</f>
        <v>144</v>
      </c>
      <c r="G88" s="28">
        <f t="shared" si="29"/>
        <v>180</v>
      </c>
      <c r="H88" s="28">
        <f t="shared" si="29"/>
        <v>180</v>
      </c>
    </row>
    <row r="89" spans="1:8" ht="36" customHeight="1">
      <c r="A89" s="55" t="s">
        <v>24</v>
      </c>
      <c r="B89" s="55" t="s">
        <v>66</v>
      </c>
      <c r="C89" s="55">
        <v>1630220530</v>
      </c>
      <c r="D89" s="55">
        <v>240</v>
      </c>
      <c r="E89" s="199" t="s">
        <v>469</v>
      </c>
      <c r="F89" s="28">
        <f>136+8</f>
        <v>144</v>
      </c>
      <c r="G89" s="28">
        <v>180</v>
      </c>
      <c r="H89" s="28">
        <v>180</v>
      </c>
    </row>
    <row r="90" spans="1:8" ht="47.25">
      <c r="A90" s="55" t="s">
        <v>24</v>
      </c>
      <c r="B90" s="55" t="s">
        <v>66</v>
      </c>
      <c r="C90" s="57">
        <v>1640000000</v>
      </c>
      <c r="D90" s="1"/>
      <c r="E90" s="22" t="s">
        <v>279</v>
      </c>
      <c r="F90" s="28">
        <f>F91</f>
        <v>26</v>
      </c>
      <c r="G90" s="28">
        <f aca="true" t="shared" si="30" ref="G90:H93">G91</f>
        <v>26.5</v>
      </c>
      <c r="H90" s="28">
        <f t="shared" si="30"/>
        <v>26.5</v>
      </c>
    </row>
    <row r="91" spans="1:8" ht="31.5">
      <c r="A91" s="55" t="s">
        <v>24</v>
      </c>
      <c r="B91" s="55" t="s">
        <v>66</v>
      </c>
      <c r="C91" s="55">
        <v>1640200000</v>
      </c>
      <c r="D91" s="1"/>
      <c r="E91" s="22" t="s">
        <v>282</v>
      </c>
      <c r="F91" s="28">
        <f>F92</f>
        <v>26</v>
      </c>
      <c r="G91" s="28">
        <f t="shared" si="30"/>
        <v>26.5</v>
      </c>
      <c r="H91" s="28">
        <f t="shared" si="30"/>
        <v>26.5</v>
      </c>
    </row>
    <row r="92" spans="1:8" ht="12.75">
      <c r="A92" s="55" t="s">
        <v>24</v>
      </c>
      <c r="B92" s="55" t="s">
        <v>66</v>
      </c>
      <c r="C92" s="55">
        <v>1640220250</v>
      </c>
      <c r="D92" s="1"/>
      <c r="E92" s="22" t="s">
        <v>280</v>
      </c>
      <c r="F92" s="28">
        <f>F93</f>
        <v>26</v>
      </c>
      <c r="G92" s="28">
        <f t="shared" si="30"/>
        <v>26.5</v>
      </c>
      <c r="H92" s="28">
        <f t="shared" si="30"/>
        <v>26.5</v>
      </c>
    </row>
    <row r="93" spans="1:8" ht="31.5">
      <c r="A93" s="55" t="s">
        <v>24</v>
      </c>
      <c r="B93" s="55" t="s">
        <v>66</v>
      </c>
      <c r="C93" s="55">
        <v>1640220250</v>
      </c>
      <c r="D93" s="57" t="s">
        <v>75</v>
      </c>
      <c r="E93" s="56" t="s">
        <v>110</v>
      </c>
      <c r="F93" s="28">
        <f>F94</f>
        <v>26</v>
      </c>
      <c r="G93" s="28">
        <f t="shared" si="30"/>
        <v>26.5</v>
      </c>
      <c r="H93" s="28">
        <f t="shared" si="30"/>
        <v>26.5</v>
      </c>
    </row>
    <row r="94" spans="1:8" ht="32.45" customHeight="1">
      <c r="A94" s="55" t="s">
        <v>24</v>
      </c>
      <c r="B94" s="55" t="s">
        <v>66</v>
      </c>
      <c r="C94" s="55">
        <v>1640220250</v>
      </c>
      <c r="D94" s="55">
        <v>240</v>
      </c>
      <c r="E94" s="199" t="s">
        <v>469</v>
      </c>
      <c r="F94" s="28">
        <v>26</v>
      </c>
      <c r="G94" s="28">
        <v>26.5</v>
      </c>
      <c r="H94" s="28">
        <v>26.5</v>
      </c>
    </row>
    <row r="95" spans="1:8" ht="12.75">
      <c r="A95" s="55" t="s">
        <v>24</v>
      </c>
      <c r="B95" s="55" t="s">
        <v>66</v>
      </c>
      <c r="C95" s="55">
        <v>9900000000</v>
      </c>
      <c r="D95" s="55"/>
      <c r="E95" s="56" t="s">
        <v>131</v>
      </c>
      <c r="F95" s="28">
        <f>F100+F96</f>
        <v>21585.699999999997</v>
      </c>
      <c r="G95" s="28">
        <f aca="true" t="shared" si="31" ref="G95:H95">G100+G96</f>
        <v>30880.899999999998</v>
      </c>
      <c r="H95" s="28">
        <f t="shared" si="31"/>
        <v>30880.899999999998</v>
      </c>
    </row>
    <row r="96" spans="1:8" ht="31.5">
      <c r="A96" s="92" t="s">
        <v>24</v>
      </c>
      <c r="B96" s="94" t="s">
        <v>66</v>
      </c>
      <c r="C96" s="92">
        <v>9930000000</v>
      </c>
      <c r="D96" s="92"/>
      <c r="E96" s="93" t="s">
        <v>212</v>
      </c>
      <c r="F96" s="28">
        <f>F97</f>
        <v>542.6</v>
      </c>
      <c r="G96" s="28">
        <f aca="true" t="shared" si="32" ref="G96:H98">G97</f>
        <v>0</v>
      </c>
      <c r="H96" s="28">
        <f t="shared" si="32"/>
        <v>0</v>
      </c>
    </row>
    <row r="97" spans="1:8" ht="31.5">
      <c r="A97" s="92" t="s">
        <v>24</v>
      </c>
      <c r="B97" s="94" t="s">
        <v>66</v>
      </c>
      <c r="C97" s="92">
        <v>9930020490</v>
      </c>
      <c r="D97" s="92"/>
      <c r="E97" s="93" t="s">
        <v>347</v>
      </c>
      <c r="F97" s="28">
        <f>F98</f>
        <v>542.6</v>
      </c>
      <c r="G97" s="28">
        <f t="shared" si="32"/>
        <v>0</v>
      </c>
      <c r="H97" s="28">
        <f t="shared" si="32"/>
        <v>0</v>
      </c>
    </row>
    <row r="98" spans="1:8" ht="12.75">
      <c r="A98" s="92" t="s">
        <v>24</v>
      </c>
      <c r="B98" s="94" t="s">
        <v>66</v>
      </c>
      <c r="C98" s="92">
        <v>9930020490</v>
      </c>
      <c r="D98" s="13" t="s">
        <v>76</v>
      </c>
      <c r="E98" s="73" t="s">
        <v>77</v>
      </c>
      <c r="F98" s="28">
        <f>F99</f>
        <v>542.6</v>
      </c>
      <c r="G98" s="28">
        <f t="shared" si="32"/>
        <v>0</v>
      </c>
      <c r="H98" s="28">
        <f t="shared" si="32"/>
        <v>0</v>
      </c>
    </row>
    <row r="99" spans="1:8" ht="12.75">
      <c r="A99" s="92" t="s">
        <v>24</v>
      </c>
      <c r="B99" s="94" t="s">
        <v>66</v>
      </c>
      <c r="C99" s="92">
        <v>9930020490</v>
      </c>
      <c r="D99" s="1" t="s">
        <v>348</v>
      </c>
      <c r="E99" s="22" t="s">
        <v>349</v>
      </c>
      <c r="F99" s="28">
        <f>502.6+40</f>
        <v>542.6</v>
      </c>
      <c r="G99" s="28">
        <v>0</v>
      </c>
      <c r="H99" s="28">
        <v>0</v>
      </c>
    </row>
    <row r="100" spans="1:8" ht="31.5">
      <c r="A100" s="55" t="s">
        <v>24</v>
      </c>
      <c r="B100" s="55" t="s">
        <v>66</v>
      </c>
      <c r="C100" s="55">
        <v>9990000000</v>
      </c>
      <c r="D100" s="55"/>
      <c r="E100" s="56" t="s">
        <v>199</v>
      </c>
      <c r="F100" s="28">
        <f>F101+F113</f>
        <v>21043.1</v>
      </c>
      <c r="G100" s="28">
        <f>G101+G113</f>
        <v>30880.899999999998</v>
      </c>
      <c r="H100" s="28">
        <f>H101+H113</f>
        <v>30880.899999999998</v>
      </c>
    </row>
    <row r="101" spans="1:8" ht="31.5">
      <c r="A101" s="55" t="s">
        <v>24</v>
      </c>
      <c r="B101" s="55" t="s">
        <v>66</v>
      </c>
      <c r="C101" s="55">
        <v>9990200000</v>
      </c>
      <c r="D101" s="31"/>
      <c r="E101" s="56" t="s">
        <v>145</v>
      </c>
      <c r="F101" s="28">
        <f>F110+F102+F107</f>
        <v>600.5</v>
      </c>
      <c r="G101" s="28">
        <f>G110+G102+G107</f>
        <v>714.1</v>
      </c>
      <c r="H101" s="28">
        <f>H110+H102+H107</f>
        <v>714.1</v>
      </c>
    </row>
    <row r="102" spans="1:8" ht="66.75" customHeight="1">
      <c r="A102" s="55" t="s">
        <v>24</v>
      </c>
      <c r="B102" s="55" t="s">
        <v>66</v>
      </c>
      <c r="C102" s="55">
        <v>9990210540</v>
      </c>
      <c r="D102" s="55"/>
      <c r="E102" s="56" t="s">
        <v>209</v>
      </c>
      <c r="F102" s="28">
        <f>F103+F105</f>
        <v>264</v>
      </c>
      <c r="G102" s="28">
        <f>G103+G105</f>
        <v>264</v>
      </c>
      <c r="H102" s="28">
        <f>H103+H105</f>
        <v>264</v>
      </c>
    </row>
    <row r="103" spans="1:8" ht="63">
      <c r="A103" s="55" t="s">
        <v>24</v>
      </c>
      <c r="B103" s="55" t="s">
        <v>66</v>
      </c>
      <c r="C103" s="55">
        <v>9990210540</v>
      </c>
      <c r="D103" s="55" t="s">
        <v>74</v>
      </c>
      <c r="E103" s="56" t="s">
        <v>2</v>
      </c>
      <c r="F103" s="28">
        <f>F104</f>
        <v>256.3</v>
      </c>
      <c r="G103" s="28">
        <f>G104</f>
        <v>256.3</v>
      </c>
      <c r="H103" s="28">
        <f>H104</f>
        <v>256.3</v>
      </c>
    </row>
    <row r="104" spans="1:8" ht="31.5">
      <c r="A104" s="55" t="s">
        <v>24</v>
      </c>
      <c r="B104" s="55" t="s">
        <v>66</v>
      </c>
      <c r="C104" s="55">
        <v>9990210540</v>
      </c>
      <c r="D104" s="55">
        <v>120</v>
      </c>
      <c r="E104" s="56" t="s">
        <v>471</v>
      </c>
      <c r="F104" s="28">
        <v>256.3</v>
      </c>
      <c r="G104" s="28">
        <v>256.3</v>
      </c>
      <c r="H104" s="28">
        <v>256.3</v>
      </c>
    </row>
    <row r="105" spans="1:8" ht="31.5">
      <c r="A105" s="55" t="s">
        <v>24</v>
      </c>
      <c r="B105" s="55" t="s">
        <v>66</v>
      </c>
      <c r="C105" s="55">
        <v>9990210540</v>
      </c>
      <c r="D105" s="55" t="s">
        <v>75</v>
      </c>
      <c r="E105" s="56" t="s">
        <v>110</v>
      </c>
      <c r="F105" s="28">
        <f>F106</f>
        <v>7.7</v>
      </c>
      <c r="G105" s="28">
        <f aca="true" t="shared" si="33" ref="G105:H105">G106</f>
        <v>7.7</v>
      </c>
      <c r="H105" s="28">
        <f t="shared" si="33"/>
        <v>7.7</v>
      </c>
    </row>
    <row r="106" spans="1:8" ht="31.5">
      <c r="A106" s="55" t="s">
        <v>24</v>
      </c>
      <c r="B106" s="55" t="s">
        <v>66</v>
      </c>
      <c r="C106" s="55">
        <v>9990210540</v>
      </c>
      <c r="D106" s="55">
        <v>240</v>
      </c>
      <c r="E106" s="199" t="s">
        <v>469</v>
      </c>
      <c r="F106" s="28">
        <v>7.7</v>
      </c>
      <c r="G106" s="28">
        <v>7.7</v>
      </c>
      <c r="H106" s="28">
        <v>7.7</v>
      </c>
    </row>
    <row r="107" spans="1:8" ht="78.75">
      <c r="A107" s="112" t="s">
        <v>24</v>
      </c>
      <c r="B107" s="112" t="s">
        <v>66</v>
      </c>
      <c r="C107" s="112">
        <v>9990210570</v>
      </c>
      <c r="D107" s="112"/>
      <c r="E107" s="113" t="s">
        <v>409</v>
      </c>
      <c r="F107" s="28">
        <f>F108</f>
        <v>2.6</v>
      </c>
      <c r="G107" s="28">
        <f aca="true" t="shared" si="34" ref="G107:H108">G108</f>
        <v>0</v>
      </c>
      <c r="H107" s="28">
        <f t="shared" si="34"/>
        <v>0</v>
      </c>
    </row>
    <row r="108" spans="1:8" ht="63">
      <c r="A108" s="112" t="s">
        <v>24</v>
      </c>
      <c r="B108" s="112" t="s">
        <v>66</v>
      </c>
      <c r="C108" s="112">
        <v>9990210570</v>
      </c>
      <c r="D108" s="112" t="s">
        <v>74</v>
      </c>
      <c r="E108" s="113" t="s">
        <v>2</v>
      </c>
      <c r="F108" s="28">
        <f>F109</f>
        <v>2.6</v>
      </c>
      <c r="G108" s="28">
        <f t="shared" si="34"/>
        <v>0</v>
      </c>
      <c r="H108" s="28">
        <f t="shared" si="34"/>
        <v>0</v>
      </c>
    </row>
    <row r="109" spans="1:8" ht="31.5">
      <c r="A109" s="112" t="s">
        <v>24</v>
      </c>
      <c r="B109" s="112" t="s">
        <v>66</v>
      </c>
      <c r="C109" s="112">
        <v>9990210570</v>
      </c>
      <c r="D109" s="112">
        <v>120</v>
      </c>
      <c r="E109" s="113" t="s">
        <v>471</v>
      </c>
      <c r="F109" s="28">
        <v>2.6</v>
      </c>
      <c r="G109" s="28">
        <v>0</v>
      </c>
      <c r="H109" s="28">
        <v>0</v>
      </c>
    </row>
    <row r="110" spans="1:8" ht="47.25">
      <c r="A110" s="55" t="s">
        <v>24</v>
      </c>
      <c r="B110" s="55" t="s">
        <v>66</v>
      </c>
      <c r="C110" s="55">
        <v>9990226000</v>
      </c>
      <c r="D110" s="55"/>
      <c r="E110" s="56" t="s">
        <v>201</v>
      </c>
      <c r="F110" s="28">
        <f>F111</f>
        <v>333.9</v>
      </c>
      <c r="G110" s="28">
        <f aca="true" t="shared" si="35" ref="G110:H111">G111</f>
        <v>450.1</v>
      </c>
      <c r="H110" s="28">
        <f t="shared" si="35"/>
        <v>450.1</v>
      </c>
    </row>
    <row r="111" spans="1:8" ht="63">
      <c r="A111" s="55" t="s">
        <v>24</v>
      </c>
      <c r="B111" s="55" t="s">
        <v>66</v>
      </c>
      <c r="C111" s="55">
        <v>9990226000</v>
      </c>
      <c r="D111" s="55" t="s">
        <v>74</v>
      </c>
      <c r="E111" s="56" t="s">
        <v>2</v>
      </c>
      <c r="F111" s="28">
        <f>F112</f>
        <v>333.9</v>
      </c>
      <c r="G111" s="28">
        <f t="shared" si="35"/>
        <v>450.1</v>
      </c>
      <c r="H111" s="28">
        <f t="shared" si="35"/>
        <v>450.1</v>
      </c>
    </row>
    <row r="112" spans="1:8" ht="33.6" customHeight="1">
      <c r="A112" s="55" t="s">
        <v>24</v>
      </c>
      <c r="B112" s="55" t="s">
        <v>66</v>
      </c>
      <c r="C112" s="55">
        <v>9990226000</v>
      </c>
      <c r="D112" s="55">
        <v>120</v>
      </c>
      <c r="E112" s="199" t="s">
        <v>471</v>
      </c>
      <c r="F112" s="28">
        <f>68+265.9</f>
        <v>333.9</v>
      </c>
      <c r="G112" s="28">
        <f>68+382.1</f>
        <v>450.1</v>
      </c>
      <c r="H112" s="28">
        <f>68+382.1</f>
        <v>450.1</v>
      </c>
    </row>
    <row r="113" spans="1:8" ht="31.5">
      <c r="A113" s="55" t="s">
        <v>24</v>
      </c>
      <c r="B113" s="55" t="s">
        <v>66</v>
      </c>
      <c r="C113" s="55">
        <v>9990300000</v>
      </c>
      <c r="D113" s="55"/>
      <c r="E113" s="142" t="s">
        <v>214</v>
      </c>
      <c r="F113" s="28">
        <f>F114+F116+F118</f>
        <v>20442.6</v>
      </c>
      <c r="G113" s="28">
        <f aca="true" t="shared" si="36" ref="G113:H113">G114+G116+G118</f>
        <v>30166.8</v>
      </c>
      <c r="H113" s="28">
        <f t="shared" si="36"/>
        <v>30166.8</v>
      </c>
    </row>
    <row r="114" spans="1:8" ht="63">
      <c r="A114" s="55" t="s">
        <v>24</v>
      </c>
      <c r="B114" s="55" t="s">
        <v>66</v>
      </c>
      <c r="C114" s="55">
        <v>9990300000</v>
      </c>
      <c r="D114" s="55" t="s">
        <v>74</v>
      </c>
      <c r="E114" s="56" t="s">
        <v>2</v>
      </c>
      <c r="F114" s="28">
        <f>F115</f>
        <v>15199.999999999998</v>
      </c>
      <c r="G114" s="28">
        <f aca="true" t="shared" si="37" ref="G114:H114">G115</f>
        <v>21699.9</v>
      </c>
      <c r="H114" s="28">
        <f t="shared" si="37"/>
        <v>21699.9</v>
      </c>
    </row>
    <row r="115" spans="1:8" ht="12.75">
      <c r="A115" s="55" t="s">
        <v>24</v>
      </c>
      <c r="B115" s="55" t="s">
        <v>66</v>
      </c>
      <c r="C115" s="55">
        <v>9990300000</v>
      </c>
      <c r="D115" s="55">
        <v>110</v>
      </c>
      <c r="E115" s="22" t="s">
        <v>215</v>
      </c>
      <c r="F115" s="28">
        <f>17904.1-856.5+26.3+40-1913.9</f>
        <v>15199.999999999998</v>
      </c>
      <c r="G115" s="28">
        <f>20191.5-1178.1+2686.5</f>
        <v>21699.9</v>
      </c>
      <c r="H115" s="28">
        <f>20191.5-1178.1+2686.5</f>
        <v>21699.9</v>
      </c>
    </row>
    <row r="116" spans="1:8" ht="31.5">
      <c r="A116" s="55" t="s">
        <v>24</v>
      </c>
      <c r="B116" s="55" t="s">
        <v>66</v>
      </c>
      <c r="C116" s="55">
        <v>9990300000</v>
      </c>
      <c r="D116" s="55" t="s">
        <v>75</v>
      </c>
      <c r="E116" s="56" t="s">
        <v>110</v>
      </c>
      <c r="F116" s="28">
        <f>F117</f>
        <v>4872.199999999999</v>
      </c>
      <c r="G116" s="28">
        <f aca="true" t="shared" si="38" ref="G116:H116">G117</f>
        <v>7891.799999999999</v>
      </c>
      <c r="H116" s="28">
        <f t="shared" si="38"/>
        <v>7891.799999999999</v>
      </c>
    </row>
    <row r="117" spans="1:8" ht="32.45" customHeight="1">
      <c r="A117" s="55" t="s">
        <v>24</v>
      </c>
      <c r="B117" s="55" t="s">
        <v>66</v>
      </c>
      <c r="C117" s="55">
        <v>9990300000</v>
      </c>
      <c r="D117" s="55">
        <v>240</v>
      </c>
      <c r="E117" s="199" t="s">
        <v>469</v>
      </c>
      <c r="F117" s="28">
        <f>5943.9-65.3+1.4-30-26.3-40-15.5-795-101</f>
        <v>4872.199999999999</v>
      </c>
      <c r="G117" s="28">
        <f>10578.3-2686.5</f>
        <v>7891.799999999999</v>
      </c>
      <c r="H117" s="28">
        <f>10578.3-2686.5</f>
        <v>7891.799999999999</v>
      </c>
    </row>
    <row r="118" spans="1:8" ht="12.75">
      <c r="A118" s="55" t="s">
        <v>24</v>
      </c>
      <c r="B118" s="55" t="s">
        <v>66</v>
      </c>
      <c r="C118" s="55">
        <v>9990300000</v>
      </c>
      <c r="D118" s="55" t="s">
        <v>76</v>
      </c>
      <c r="E118" s="56" t="s">
        <v>77</v>
      </c>
      <c r="F118" s="28">
        <f>F119</f>
        <v>370.40000000000003</v>
      </c>
      <c r="G118" s="28">
        <f aca="true" t="shared" si="39" ref="G118:H118">G119</f>
        <v>575.1</v>
      </c>
      <c r="H118" s="28">
        <f t="shared" si="39"/>
        <v>575.1</v>
      </c>
    </row>
    <row r="119" spans="1:8" ht="12.75">
      <c r="A119" s="55" t="s">
        <v>24</v>
      </c>
      <c r="B119" s="55" t="s">
        <v>66</v>
      </c>
      <c r="C119" s="55">
        <v>9990300000</v>
      </c>
      <c r="D119" s="55">
        <v>850</v>
      </c>
      <c r="E119" s="56" t="s">
        <v>126</v>
      </c>
      <c r="F119" s="28">
        <f>434.1-39.7-24</f>
        <v>370.40000000000003</v>
      </c>
      <c r="G119" s="28">
        <f>434.1+141</f>
        <v>575.1</v>
      </c>
      <c r="H119" s="28">
        <f>434.1+141</f>
        <v>575.1</v>
      </c>
    </row>
    <row r="120" spans="1:8" ht="12.75">
      <c r="A120" s="55" t="s">
        <v>24</v>
      </c>
      <c r="B120" s="55" t="s">
        <v>61</v>
      </c>
      <c r="C120" s="55" t="s">
        <v>72</v>
      </c>
      <c r="D120" s="55" t="s">
        <v>72</v>
      </c>
      <c r="E120" s="9" t="s">
        <v>29</v>
      </c>
      <c r="F120" s="28">
        <f>F121+F133</f>
        <v>8237.4</v>
      </c>
      <c r="G120" s="28">
        <f aca="true" t="shared" si="40" ref="G120:H120">G121+G133</f>
        <v>8045.200000000001</v>
      </c>
      <c r="H120" s="28">
        <f t="shared" si="40"/>
        <v>8099</v>
      </c>
    </row>
    <row r="121" spans="1:8" ht="12.75">
      <c r="A121" s="55" t="s">
        <v>24</v>
      </c>
      <c r="B121" s="55" t="s">
        <v>81</v>
      </c>
      <c r="C121" s="55" t="s">
        <v>72</v>
      </c>
      <c r="D121" s="55" t="s">
        <v>72</v>
      </c>
      <c r="E121" s="56" t="s">
        <v>82</v>
      </c>
      <c r="F121" s="28">
        <f>F122</f>
        <v>1451.1000000000001</v>
      </c>
      <c r="G121" s="28">
        <f aca="true" t="shared" si="41" ref="G121:H123">G122</f>
        <v>1496.9</v>
      </c>
      <c r="H121" s="28">
        <f t="shared" si="41"/>
        <v>1550.7</v>
      </c>
    </row>
    <row r="122" spans="1:8" ht="12.75">
      <c r="A122" s="55" t="s">
        <v>24</v>
      </c>
      <c r="B122" s="55" t="s">
        <v>81</v>
      </c>
      <c r="C122" s="55">
        <v>9900000000</v>
      </c>
      <c r="D122" s="55"/>
      <c r="E122" s="56" t="s">
        <v>131</v>
      </c>
      <c r="F122" s="28">
        <f>F123</f>
        <v>1451.1000000000001</v>
      </c>
      <c r="G122" s="28">
        <f t="shared" si="41"/>
        <v>1496.9</v>
      </c>
      <c r="H122" s="28">
        <f t="shared" si="41"/>
        <v>1550.7</v>
      </c>
    </row>
    <row r="123" spans="1:8" ht="31.5">
      <c r="A123" s="55" t="s">
        <v>24</v>
      </c>
      <c r="B123" s="55" t="s">
        <v>81</v>
      </c>
      <c r="C123" s="55">
        <v>9990000000</v>
      </c>
      <c r="D123" s="55"/>
      <c r="E123" s="56" t="s">
        <v>199</v>
      </c>
      <c r="F123" s="28">
        <f>F124</f>
        <v>1451.1000000000001</v>
      </c>
      <c r="G123" s="28">
        <f t="shared" si="41"/>
        <v>1496.9</v>
      </c>
      <c r="H123" s="28">
        <f t="shared" si="41"/>
        <v>1550.7</v>
      </c>
    </row>
    <row r="124" spans="1:8" ht="31.5">
      <c r="A124" s="55" t="s">
        <v>24</v>
      </c>
      <c r="B124" s="55" t="s">
        <v>81</v>
      </c>
      <c r="C124" s="55">
        <v>9990200000</v>
      </c>
      <c r="D124" s="31"/>
      <c r="E124" s="56" t="s">
        <v>145</v>
      </c>
      <c r="F124" s="28">
        <f>F125+F128</f>
        <v>1451.1000000000001</v>
      </c>
      <c r="G124" s="28">
        <f aca="true" t="shared" si="42" ref="G124:H124">G125+G128</f>
        <v>1496.9</v>
      </c>
      <c r="H124" s="28">
        <f t="shared" si="42"/>
        <v>1550.7</v>
      </c>
    </row>
    <row r="125" spans="1:8" ht="47.25">
      <c r="A125" s="55" t="s">
        <v>24</v>
      </c>
      <c r="B125" s="55" t="s">
        <v>81</v>
      </c>
      <c r="C125" s="55">
        <v>9990226000</v>
      </c>
      <c r="D125" s="55"/>
      <c r="E125" s="56" t="s">
        <v>201</v>
      </c>
      <c r="F125" s="28">
        <f>F126</f>
        <v>131.7</v>
      </c>
      <c r="G125" s="28">
        <f aca="true" t="shared" si="43" ref="G125:H126">G126</f>
        <v>131.7</v>
      </c>
      <c r="H125" s="28">
        <f t="shared" si="43"/>
        <v>131.7</v>
      </c>
    </row>
    <row r="126" spans="1:8" ht="63">
      <c r="A126" s="55" t="s">
        <v>24</v>
      </c>
      <c r="B126" s="55" t="s">
        <v>81</v>
      </c>
      <c r="C126" s="55">
        <v>9990226000</v>
      </c>
      <c r="D126" s="55" t="s">
        <v>74</v>
      </c>
      <c r="E126" s="56" t="s">
        <v>2</v>
      </c>
      <c r="F126" s="28">
        <f>F127</f>
        <v>131.7</v>
      </c>
      <c r="G126" s="28">
        <f t="shared" si="43"/>
        <v>131.7</v>
      </c>
      <c r="H126" s="28">
        <f t="shared" si="43"/>
        <v>131.7</v>
      </c>
    </row>
    <row r="127" spans="1:8" ht="30" customHeight="1">
      <c r="A127" s="55" t="s">
        <v>24</v>
      </c>
      <c r="B127" s="55" t="s">
        <v>81</v>
      </c>
      <c r="C127" s="55">
        <v>9990226000</v>
      </c>
      <c r="D127" s="55">
        <v>120</v>
      </c>
      <c r="E127" s="199" t="s">
        <v>471</v>
      </c>
      <c r="F127" s="28">
        <v>131.7</v>
      </c>
      <c r="G127" s="28">
        <v>131.7</v>
      </c>
      <c r="H127" s="28">
        <v>131.7</v>
      </c>
    </row>
    <row r="128" spans="1:8" ht="31.5">
      <c r="A128" s="55" t="s">
        <v>24</v>
      </c>
      <c r="B128" s="55" t="s">
        <v>81</v>
      </c>
      <c r="C128" s="55">
        <v>9990259300</v>
      </c>
      <c r="D128" s="55"/>
      <c r="E128" s="56" t="s">
        <v>216</v>
      </c>
      <c r="F128" s="28">
        <f>F129+F131</f>
        <v>1319.4</v>
      </c>
      <c r="G128" s="28">
        <f aca="true" t="shared" si="44" ref="G128:H128">G129+G131</f>
        <v>1365.2</v>
      </c>
      <c r="H128" s="28">
        <f t="shared" si="44"/>
        <v>1419</v>
      </c>
    </row>
    <row r="129" spans="1:8" ht="63">
      <c r="A129" s="55" t="s">
        <v>24</v>
      </c>
      <c r="B129" s="55" t="s">
        <v>81</v>
      </c>
      <c r="C129" s="55">
        <v>9990259300</v>
      </c>
      <c r="D129" s="55" t="s">
        <v>74</v>
      </c>
      <c r="E129" s="56" t="s">
        <v>2</v>
      </c>
      <c r="F129" s="28">
        <f>F130</f>
        <v>1227.9</v>
      </c>
      <c r="G129" s="28">
        <f aca="true" t="shared" si="45" ref="G129:H129">G130</f>
        <v>1227.9</v>
      </c>
      <c r="H129" s="28">
        <f t="shared" si="45"/>
        <v>1227.9</v>
      </c>
    </row>
    <row r="130" spans="1:8" ht="29.45" customHeight="1">
      <c r="A130" s="55" t="s">
        <v>24</v>
      </c>
      <c r="B130" s="55" t="s">
        <v>81</v>
      </c>
      <c r="C130" s="55">
        <v>9990259300</v>
      </c>
      <c r="D130" s="55">
        <v>120</v>
      </c>
      <c r="E130" s="199" t="s">
        <v>471</v>
      </c>
      <c r="F130" s="28">
        <v>1227.9</v>
      </c>
      <c r="G130" s="28">
        <v>1227.9</v>
      </c>
      <c r="H130" s="28">
        <v>1227.9</v>
      </c>
    </row>
    <row r="131" spans="1:8" ht="31.5">
      <c r="A131" s="55" t="s">
        <v>24</v>
      </c>
      <c r="B131" s="55" t="s">
        <v>81</v>
      </c>
      <c r="C131" s="55">
        <v>9990259300</v>
      </c>
      <c r="D131" s="55" t="s">
        <v>75</v>
      </c>
      <c r="E131" s="56" t="s">
        <v>110</v>
      </c>
      <c r="F131" s="28">
        <f>F132</f>
        <v>91.5</v>
      </c>
      <c r="G131" s="28">
        <f aca="true" t="shared" si="46" ref="G131:H131">G132</f>
        <v>137.3</v>
      </c>
      <c r="H131" s="28">
        <f t="shared" si="46"/>
        <v>191.1</v>
      </c>
    </row>
    <row r="132" spans="1:8" ht="33" customHeight="1">
      <c r="A132" s="55" t="s">
        <v>24</v>
      </c>
      <c r="B132" s="55" t="s">
        <v>81</v>
      </c>
      <c r="C132" s="55">
        <v>9990259300</v>
      </c>
      <c r="D132" s="55">
        <v>240</v>
      </c>
      <c r="E132" s="199" t="s">
        <v>469</v>
      </c>
      <c r="F132" s="28">
        <v>91.5</v>
      </c>
      <c r="G132" s="28">
        <v>137.3</v>
      </c>
      <c r="H132" s="28">
        <v>191.1</v>
      </c>
    </row>
    <row r="133" spans="1:8" ht="31.5">
      <c r="A133" s="55" t="s">
        <v>24</v>
      </c>
      <c r="B133" s="55" t="s">
        <v>53</v>
      </c>
      <c r="C133" s="55"/>
      <c r="D133" s="55"/>
      <c r="E133" s="56" t="s">
        <v>19</v>
      </c>
      <c r="F133" s="28">
        <f aca="true" t="shared" si="47" ref="F133:H141">F134</f>
        <v>6786.3</v>
      </c>
      <c r="G133" s="28">
        <f t="shared" si="47"/>
        <v>6548.3</v>
      </c>
      <c r="H133" s="28">
        <f t="shared" si="47"/>
        <v>6548.3</v>
      </c>
    </row>
    <row r="134" spans="1:8" ht="31.5">
      <c r="A134" s="55" t="s">
        <v>24</v>
      </c>
      <c r="B134" s="55" t="s">
        <v>53</v>
      </c>
      <c r="C134" s="57">
        <v>1500000000</v>
      </c>
      <c r="D134" s="55"/>
      <c r="E134" s="56" t="s">
        <v>243</v>
      </c>
      <c r="F134" s="28">
        <f t="shared" si="47"/>
        <v>6786.3</v>
      </c>
      <c r="G134" s="28">
        <f t="shared" si="47"/>
        <v>6548.3</v>
      </c>
      <c r="H134" s="28">
        <f t="shared" si="47"/>
        <v>6548.3</v>
      </c>
    </row>
    <row r="135" spans="1:8" ht="12.75">
      <c r="A135" s="55" t="s">
        <v>24</v>
      </c>
      <c r="B135" s="55" t="s">
        <v>53</v>
      </c>
      <c r="C135" s="55">
        <v>1510000000</v>
      </c>
      <c r="D135" s="55"/>
      <c r="E135" s="56" t="s">
        <v>206</v>
      </c>
      <c r="F135" s="28">
        <f t="shared" si="47"/>
        <v>6786.3</v>
      </c>
      <c r="G135" s="28">
        <f t="shared" si="47"/>
        <v>6548.3</v>
      </c>
      <c r="H135" s="28">
        <f t="shared" si="47"/>
        <v>6548.3</v>
      </c>
    </row>
    <row r="136" spans="1:8" ht="47.25">
      <c r="A136" s="55" t="s">
        <v>24</v>
      </c>
      <c r="B136" s="55" t="s">
        <v>53</v>
      </c>
      <c r="C136" s="55">
        <v>1510100000</v>
      </c>
      <c r="D136" s="55"/>
      <c r="E136" s="56" t="s">
        <v>246</v>
      </c>
      <c r="F136" s="28">
        <f>F140+F137+F143</f>
        <v>6786.3</v>
      </c>
      <c r="G136" s="28">
        <f aca="true" t="shared" si="48" ref="G136:H136">G140+G137+G143</f>
        <v>6548.3</v>
      </c>
      <c r="H136" s="28">
        <f t="shared" si="48"/>
        <v>6548.3</v>
      </c>
    </row>
    <row r="137" spans="1:8" ht="51.75" customHeight="1">
      <c r="A137" s="84" t="s">
        <v>24</v>
      </c>
      <c r="B137" s="84" t="s">
        <v>53</v>
      </c>
      <c r="C137" s="84">
        <v>1510110200</v>
      </c>
      <c r="D137" s="84"/>
      <c r="E137" s="9" t="s">
        <v>366</v>
      </c>
      <c r="F137" s="28">
        <f>F138</f>
        <v>25</v>
      </c>
      <c r="G137" s="28">
        <f aca="true" t="shared" si="49" ref="G137:H138">G138</f>
        <v>0</v>
      </c>
      <c r="H137" s="28">
        <f t="shared" si="49"/>
        <v>0</v>
      </c>
    </row>
    <row r="138" spans="1:8" ht="31.5">
      <c r="A138" s="84" t="s">
        <v>24</v>
      </c>
      <c r="B138" s="84" t="s">
        <v>53</v>
      </c>
      <c r="C138" s="84">
        <v>1510110200</v>
      </c>
      <c r="D138" s="84">
        <v>600</v>
      </c>
      <c r="E138" s="85" t="s">
        <v>90</v>
      </c>
      <c r="F138" s="28">
        <f>F139</f>
        <v>25</v>
      </c>
      <c r="G138" s="28">
        <f t="shared" si="49"/>
        <v>0</v>
      </c>
      <c r="H138" s="28">
        <f t="shared" si="49"/>
        <v>0</v>
      </c>
    </row>
    <row r="139" spans="1:8" ht="12.75">
      <c r="A139" s="84" t="s">
        <v>24</v>
      </c>
      <c r="B139" s="84" t="s">
        <v>53</v>
      </c>
      <c r="C139" s="84">
        <v>1510110200</v>
      </c>
      <c r="D139" s="84">
        <v>610</v>
      </c>
      <c r="E139" s="85" t="s">
        <v>130</v>
      </c>
      <c r="F139" s="28">
        <f>23.2+1.8</f>
        <v>25</v>
      </c>
      <c r="G139" s="28">
        <v>0</v>
      </c>
      <c r="H139" s="28">
        <v>0</v>
      </c>
    </row>
    <row r="140" spans="1:8" ht="31.5">
      <c r="A140" s="55" t="s">
        <v>24</v>
      </c>
      <c r="B140" s="55" t="s">
        <v>53</v>
      </c>
      <c r="C140" s="55">
        <v>1510120010</v>
      </c>
      <c r="D140" s="55"/>
      <c r="E140" s="56" t="s">
        <v>151</v>
      </c>
      <c r="F140" s="28">
        <f t="shared" si="47"/>
        <v>6758.8</v>
      </c>
      <c r="G140" s="28">
        <f t="shared" si="47"/>
        <v>6548.3</v>
      </c>
      <c r="H140" s="28">
        <f t="shared" si="47"/>
        <v>6548.3</v>
      </c>
    </row>
    <row r="141" spans="1:8" ht="31.5">
      <c r="A141" s="55" t="s">
        <v>24</v>
      </c>
      <c r="B141" s="55" t="s">
        <v>53</v>
      </c>
      <c r="C141" s="55">
        <v>1510120010</v>
      </c>
      <c r="D141" s="55">
        <v>600</v>
      </c>
      <c r="E141" s="56" t="s">
        <v>90</v>
      </c>
      <c r="F141" s="28">
        <f t="shared" si="47"/>
        <v>6758.8</v>
      </c>
      <c r="G141" s="28">
        <f t="shared" si="47"/>
        <v>6548.3</v>
      </c>
      <c r="H141" s="28">
        <f t="shared" si="47"/>
        <v>6548.3</v>
      </c>
    </row>
    <row r="142" spans="1:8" ht="12.75">
      <c r="A142" s="55" t="s">
        <v>24</v>
      </c>
      <c r="B142" s="55" t="s">
        <v>53</v>
      </c>
      <c r="C142" s="55">
        <v>1510120010</v>
      </c>
      <c r="D142" s="55">
        <v>610</v>
      </c>
      <c r="E142" s="56" t="s">
        <v>130</v>
      </c>
      <c r="F142" s="28">
        <f>6548.3+213-2.3-0.2</f>
        <v>6758.8</v>
      </c>
      <c r="G142" s="28">
        <v>6548.3</v>
      </c>
      <c r="H142" s="28">
        <v>6548.3</v>
      </c>
    </row>
    <row r="143" spans="1:8" ht="51.75" customHeight="1">
      <c r="A143" s="87" t="s">
        <v>24</v>
      </c>
      <c r="B143" s="87" t="s">
        <v>53</v>
      </c>
      <c r="C143" s="87" t="s">
        <v>370</v>
      </c>
      <c r="D143" s="87"/>
      <c r="E143" s="9" t="s">
        <v>371</v>
      </c>
      <c r="F143" s="28">
        <f>F144</f>
        <v>2.5</v>
      </c>
      <c r="G143" s="28">
        <f aca="true" t="shared" si="50" ref="G143:H144">G144</f>
        <v>0</v>
      </c>
      <c r="H143" s="28">
        <f t="shared" si="50"/>
        <v>0</v>
      </c>
    </row>
    <row r="144" spans="1:8" ht="31.5">
      <c r="A144" s="87" t="s">
        <v>24</v>
      </c>
      <c r="B144" s="87" t="s">
        <v>53</v>
      </c>
      <c r="C144" s="87" t="s">
        <v>370</v>
      </c>
      <c r="D144" s="87">
        <v>600</v>
      </c>
      <c r="E144" s="88" t="s">
        <v>113</v>
      </c>
      <c r="F144" s="28">
        <f>F145</f>
        <v>2.5</v>
      </c>
      <c r="G144" s="28">
        <f t="shared" si="50"/>
        <v>0</v>
      </c>
      <c r="H144" s="28">
        <f t="shared" si="50"/>
        <v>0</v>
      </c>
    </row>
    <row r="145" spans="1:8" ht="12.75">
      <c r="A145" s="87" t="s">
        <v>24</v>
      </c>
      <c r="B145" s="87" t="s">
        <v>53</v>
      </c>
      <c r="C145" s="87" t="s">
        <v>370</v>
      </c>
      <c r="D145" s="87">
        <v>610</v>
      </c>
      <c r="E145" s="88" t="s">
        <v>130</v>
      </c>
      <c r="F145" s="28">
        <f>2.3+0.2</f>
        <v>2.5</v>
      </c>
      <c r="G145" s="28">
        <v>0</v>
      </c>
      <c r="H145" s="28">
        <v>0</v>
      </c>
    </row>
    <row r="146" spans="1:8" ht="12.75">
      <c r="A146" s="55" t="s">
        <v>24</v>
      </c>
      <c r="B146" s="55" t="s">
        <v>62</v>
      </c>
      <c r="C146" s="55" t="s">
        <v>72</v>
      </c>
      <c r="D146" s="55" t="s">
        <v>72</v>
      </c>
      <c r="E146" s="9" t="s">
        <v>30</v>
      </c>
      <c r="F146" s="28">
        <f>F147+F154+F161+F183</f>
        <v>127884.29999999997</v>
      </c>
      <c r="G146" s="28">
        <f>G147+G154+G161+G183</f>
        <v>23710.000000000004</v>
      </c>
      <c r="H146" s="28">
        <f>H147+H154+H161+H183</f>
        <v>12816</v>
      </c>
    </row>
    <row r="147" spans="1:8" ht="12.75">
      <c r="A147" s="55" t="s">
        <v>24</v>
      </c>
      <c r="B147" s="24" t="s">
        <v>122</v>
      </c>
      <c r="C147" s="31"/>
      <c r="D147" s="31"/>
      <c r="E147" s="56" t="s">
        <v>123</v>
      </c>
      <c r="F147" s="28">
        <f aca="true" t="shared" si="51" ref="F147:H152">F148</f>
        <v>255.4</v>
      </c>
      <c r="G147" s="28">
        <f t="shared" si="51"/>
        <v>182.4</v>
      </c>
      <c r="H147" s="28">
        <f t="shared" si="51"/>
        <v>182.4</v>
      </c>
    </row>
    <row r="148" spans="1:8" ht="33" customHeight="1">
      <c r="A148" s="55" t="s">
        <v>24</v>
      </c>
      <c r="B148" s="24" t="s">
        <v>122</v>
      </c>
      <c r="C148" s="57">
        <v>1100000000</v>
      </c>
      <c r="D148" s="31"/>
      <c r="E148" s="56" t="s">
        <v>247</v>
      </c>
      <c r="F148" s="28">
        <f t="shared" si="51"/>
        <v>255.4</v>
      </c>
      <c r="G148" s="28">
        <f t="shared" si="51"/>
        <v>182.4</v>
      </c>
      <c r="H148" s="28">
        <f t="shared" si="51"/>
        <v>182.4</v>
      </c>
    </row>
    <row r="149" spans="1:8" ht="31.5">
      <c r="A149" s="55" t="s">
        <v>24</v>
      </c>
      <c r="B149" s="24" t="s">
        <v>122</v>
      </c>
      <c r="C149" s="57">
        <v>1130000000</v>
      </c>
      <c r="D149" s="31"/>
      <c r="E149" s="56" t="s">
        <v>142</v>
      </c>
      <c r="F149" s="28">
        <f t="shared" si="51"/>
        <v>255.4</v>
      </c>
      <c r="G149" s="28">
        <f t="shared" si="51"/>
        <v>182.4</v>
      </c>
      <c r="H149" s="28">
        <f t="shared" si="51"/>
        <v>182.4</v>
      </c>
    </row>
    <row r="150" spans="1:8" ht="47.25">
      <c r="A150" s="55" t="s">
        <v>24</v>
      </c>
      <c r="B150" s="24" t="s">
        <v>122</v>
      </c>
      <c r="C150" s="57">
        <v>1130300000</v>
      </c>
      <c r="D150" s="31"/>
      <c r="E150" s="56" t="s">
        <v>143</v>
      </c>
      <c r="F150" s="28">
        <f t="shared" si="51"/>
        <v>255.4</v>
      </c>
      <c r="G150" s="28">
        <f t="shared" si="51"/>
        <v>182.4</v>
      </c>
      <c r="H150" s="28">
        <f t="shared" si="51"/>
        <v>182.4</v>
      </c>
    </row>
    <row r="151" spans="1:8" ht="31.5">
      <c r="A151" s="55" t="s">
        <v>24</v>
      </c>
      <c r="B151" s="24" t="s">
        <v>122</v>
      </c>
      <c r="C151" s="57">
        <v>1130320280</v>
      </c>
      <c r="D151" s="31"/>
      <c r="E151" s="90" t="s">
        <v>144</v>
      </c>
      <c r="F151" s="28">
        <f t="shared" si="51"/>
        <v>255.4</v>
      </c>
      <c r="G151" s="28">
        <f t="shared" si="51"/>
        <v>182.4</v>
      </c>
      <c r="H151" s="28">
        <f t="shared" si="51"/>
        <v>182.4</v>
      </c>
    </row>
    <row r="152" spans="1:8" ht="31.5">
      <c r="A152" s="55" t="s">
        <v>24</v>
      </c>
      <c r="B152" s="24" t="s">
        <v>122</v>
      </c>
      <c r="C152" s="57">
        <v>1130320280</v>
      </c>
      <c r="D152" s="57" t="s">
        <v>112</v>
      </c>
      <c r="E152" s="56" t="s">
        <v>113</v>
      </c>
      <c r="F152" s="28">
        <f t="shared" si="51"/>
        <v>255.4</v>
      </c>
      <c r="G152" s="28">
        <f t="shared" si="51"/>
        <v>182.4</v>
      </c>
      <c r="H152" s="28">
        <f t="shared" si="51"/>
        <v>182.4</v>
      </c>
    </row>
    <row r="153" spans="1:8" ht="12.75">
      <c r="A153" s="55" t="s">
        <v>24</v>
      </c>
      <c r="B153" s="24" t="s">
        <v>122</v>
      </c>
      <c r="C153" s="57">
        <v>1130320280</v>
      </c>
      <c r="D153" s="55">
        <v>610</v>
      </c>
      <c r="E153" s="56" t="s">
        <v>130</v>
      </c>
      <c r="F153" s="28">
        <f>176.4+79</f>
        <v>255.4</v>
      </c>
      <c r="G153" s="28">
        <v>182.4</v>
      </c>
      <c r="H153" s="28">
        <v>182.4</v>
      </c>
    </row>
    <row r="154" spans="1:8" ht="12.75">
      <c r="A154" s="55" t="s">
        <v>24</v>
      </c>
      <c r="B154" s="55" t="s">
        <v>95</v>
      </c>
      <c r="C154" s="55" t="s">
        <v>72</v>
      </c>
      <c r="D154" s="55" t="s">
        <v>72</v>
      </c>
      <c r="E154" s="56" t="s">
        <v>96</v>
      </c>
      <c r="F154" s="28">
        <f aca="true" t="shared" si="52" ref="F154:H159">F155</f>
        <v>404</v>
      </c>
      <c r="G154" s="28">
        <f t="shared" si="52"/>
        <v>390.5</v>
      </c>
      <c r="H154" s="28">
        <f t="shared" si="52"/>
        <v>390.5</v>
      </c>
    </row>
    <row r="155" spans="1:8" ht="47.25">
      <c r="A155" s="55" t="s">
        <v>24</v>
      </c>
      <c r="B155" s="55" t="s">
        <v>95</v>
      </c>
      <c r="C155" s="57">
        <v>1300000000</v>
      </c>
      <c r="D155" s="55"/>
      <c r="E155" s="56" t="s">
        <v>248</v>
      </c>
      <c r="F155" s="28">
        <f t="shared" si="52"/>
        <v>404</v>
      </c>
      <c r="G155" s="28">
        <f t="shared" si="52"/>
        <v>390.5</v>
      </c>
      <c r="H155" s="28">
        <f t="shared" si="52"/>
        <v>390.5</v>
      </c>
    </row>
    <row r="156" spans="1:8" ht="16.9" customHeight="1">
      <c r="A156" s="55" t="s">
        <v>24</v>
      </c>
      <c r="B156" s="55" t="s">
        <v>95</v>
      </c>
      <c r="C156" s="57">
        <v>1330000000</v>
      </c>
      <c r="D156" s="55"/>
      <c r="E156" s="56" t="s">
        <v>152</v>
      </c>
      <c r="F156" s="28">
        <f t="shared" si="52"/>
        <v>404</v>
      </c>
      <c r="G156" s="28">
        <f t="shared" si="52"/>
        <v>390.5</v>
      </c>
      <c r="H156" s="28">
        <f t="shared" si="52"/>
        <v>390.5</v>
      </c>
    </row>
    <row r="157" spans="1:8" ht="31.5">
      <c r="A157" s="55" t="s">
        <v>24</v>
      </c>
      <c r="B157" s="55" t="s">
        <v>95</v>
      </c>
      <c r="C157" s="57">
        <v>1330100000</v>
      </c>
      <c r="D157" s="55"/>
      <c r="E157" s="56" t="s">
        <v>249</v>
      </c>
      <c r="F157" s="28">
        <f t="shared" si="52"/>
        <v>404</v>
      </c>
      <c r="G157" s="28">
        <f t="shared" si="52"/>
        <v>390.5</v>
      </c>
      <c r="H157" s="28">
        <f t="shared" si="52"/>
        <v>390.5</v>
      </c>
    </row>
    <row r="158" spans="1:8" ht="78.75">
      <c r="A158" s="55" t="s">
        <v>24</v>
      </c>
      <c r="B158" s="55" t="s">
        <v>95</v>
      </c>
      <c r="C158" s="57">
        <v>1330110550</v>
      </c>
      <c r="D158" s="55"/>
      <c r="E158" s="56" t="s">
        <v>326</v>
      </c>
      <c r="F158" s="28">
        <f t="shared" si="52"/>
        <v>404</v>
      </c>
      <c r="G158" s="28">
        <f t="shared" si="52"/>
        <v>390.5</v>
      </c>
      <c r="H158" s="28">
        <f t="shared" si="52"/>
        <v>390.5</v>
      </c>
    </row>
    <row r="159" spans="1:8" ht="31.5">
      <c r="A159" s="55" t="s">
        <v>24</v>
      </c>
      <c r="B159" s="55" t="s">
        <v>95</v>
      </c>
      <c r="C159" s="57">
        <v>1330110550</v>
      </c>
      <c r="D159" s="57" t="s">
        <v>75</v>
      </c>
      <c r="E159" s="56" t="s">
        <v>110</v>
      </c>
      <c r="F159" s="28">
        <f t="shared" si="52"/>
        <v>404</v>
      </c>
      <c r="G159" s="28">
        <f t="shared" si="52"/>
        <v>390.5</v>
      </c>
      <c r="H159" s="28">
        <f t="shared" si="52"/>
        <v>390.5</v>
      </c>
    </row>
    <row r="160" spans="1:8" ht="32.25" customHeight="1">
      <c r="A160" s="55" t="s">
        <v>24</v>
      </c>
      <c r="B160" s="55" t="s">
        <v>95</v>
      </c>
      <c r="C160" s="57">
        <v>1330110550</v>
      </c>
      <c r="D160" s="55">
        <v>240</v>
      </c>
      <c r="E160" s="56" t="s">
        <v>469</v>
      </c>
      <c r="F160" s="28">
        <v>404</v>
      </c>
      <c r="G160" s="28">
        <v>390.5</v>
      </c>
      <c r="H160" s="28">
        <v>390.5</v>
      </c>
    </row>
    <row r="161" spans="1:8" ht="12.75">
      <c r="A161" s="55" t="s">
        <v>24</v>
      </c>
      <c r="B161" s="55" t="s">
        <v>9</v>
      </c>
      <c r="C161" s="55" t="s">
        <v>72</v>
      </c>
      <c r="D161" s="55" t="s">
        <v>72</v>
      </c>
      <c r="E161" s="56" t="s">
        <v>101</v>
      </c>
      <c r="F161" s="28">
        <f>F162</f>
        <v>123288.99999999999</v>
      </c>
      <c r="G161" s="28">
        <f aca="true" t="shared" si="53" ref="G161:H161">G162</f>
        <v>19856.2</v>
      </c>
      <c r="H161" s="28">
        <f t="shared" si="53"/>
        <v>8962.2</v>
      </c>
    </row>
    <row r="162" spans="1:8" ht="47.25">
      <c r="A162" s="55" t="s">
        <v>24</v>
      </c>
      <c r="B162" s="55" t="s">
        <v>9</v>
      </c>
      <c r="C162" s="57">
        <v>1400000000</v>
      </c>
      <c r="D162" s="55"/>
      <c r="E162" s="56" t="s">
        <v>250</v>
      </c>
      <c r="F162" s="28">
        <f>F163+F178</f>
        <v>123288.99999999999</v>
      </c>
      <c r="G162" s="28">
        <f>G163+G178</f>
        <v>19856.2</v>
      </c>
      <c r="H162" s="28">
        <f>H163+H178</f>
        <v>8962.2</v>
      </c>
    </row>
    <row r="163" spans="1:8" ht="12.75">
      <c r="A163" s="55" t="s">
        <v>24</v>
      </c>
      <c r="B163" s="55" t="s">
        <v>9</v>
      </c>
      <c r="C163" s="57">
        <v>1410000000</v>
      </c>
      <c r="D163" s="55"/>
      <c r="E163" s="56" t="s">
        <v>153</v>
      </c>
      <c r="F163" s="28">
        <f>F164+F168</f>
        <v>119788.99999999999</v>
      </c>
      <c r="G163" s="28">
        <f aca="true" t="shared" si="54" ref="G163:H163">G164+G168</f>
        <v>19856.2</v>
      </c>
      <c r="H163" s="28">
        <f t="shared" si="54"/>
        <v>8962.2</v>
      </c>
    </row>
    <row r="164" spans="1:8" ht="12.75">
      <c r="A164" s="55" t="s">
        <v>24</v>
      </c>
      <c r="B164" s="55" t="s">
        <v>9</v>
      </c>
      <c r="C164" s="57">
        <v>1410100000</v>
      </c>
      <c r="D164" s="31"/>
      <c r="E164" s="56" t="s">
        <v>251</v>
      </c>
      <c r="F164" s="28">
        <f>F165</f>
        <v>23841.7</v>
      </c>
      <c r="G164" s="28">
        <f aca="true" t="shared" si="55" ref="G164:H166">G165</f>
        <v>19856.2</v>
      </c>
      <c r="H164" s="28">
        <f t="shared" si="55"/>
        <v>8962.2</v>
      </c>
    </row>
    <row r="165" spans="1:8" ht="31.5">
      <c r="A165" s="55" t="s">
        <v>24</v>
      </c>
      <c r="B165" s="55" t="s">
        <v>9</v>
      </c>
      <c r="C165" s="55">
        <v>1410120100</v>
      </c>
      <c r="D165" s="55"/>
      <c r="E165" s="56" t="s">
        <v>154</v>
      </c>
      <c r="F165" s="28">
        <f>F166</f>
        <v>23841.7</v>
      </c>
      <c r="G165" s="28">
        <f t="shared" si="55"/>
        <v>19856.2</v>
      </c>
      <c r="H165" s="28">
        <f t="shared" si="55"/>
        <v>8962.2</v>
      </c>
    </row>
    <row r="166" spans="1:8" ht="31.5">
      <c r="A166" s="55" t="s">
        <v>24</v>
      </c>
      <c r="B166" s="55" t="s">
        <v>9</v>
      </c>
      <c r="C166" s="55">
        <v>1410120100</v>
      </c>
      <c r="D166" s="57" t="s">
        <v>75</v>
      </c>
      <c r="E166" s="56" t="s">
        <v>110</v>
      </c>
      <c r="F166" s="28">
        <f>F167</f>
        <v>23841.7</v>
      </c>
      <c r="G166" s="28">
        <f t="shared" si="55"/>
        <v>19856.2</v>
      </c>
      <c r="H166" s="28">
        <f t="shared" si="55"/>
        <v>8962.2</v>
      </c>
    </row>
    <row r="167" spans="1:8" ht="30.6" customHeight="1">
      <c r="A167" s="55" t="s">
        <v>24</v>
      </c>
      <c r="B167" s="55" t="s">
        <v>9</v>
      </c>
      <c r="C167" s="55">
        <v>1410120100</v>
      </c>
      <c r="D167" s="55">
        <v>240</v>
      </c>
      <c r="E167" s="199" t="s">
        <v>469</v>
      </c>
      <c r="F167" s="28">
        <f>23454.7+387</f>
        <v>23841.7</v>
      </c>
      <c r="G167" s="28">
        <f>20859.3-1003.1</f>
        <v>19856.2</v>
      </c>
      <c r="H167" s="28">
        <f>16262.2-7300</f>
        <v>8962.2</v>
      </c>
    </row>
    <row r="168" spans="1:8" ht="47.25">
      <c r="A168" s="55" t="s">
        <v>24</v>
      </c>
      <c r="B168" s="55" t="s">
        <v>9</v>
      </c>
      <c r="C168" s="57">
        <v>1410200000</v>
      </c>
      <c r="D168" s="55"/>
      <c r="E168" s="76" t="s">
        <v>252</v>
      </c>
      <c r="F168" s="28">
        <f>F172+F175+F169</f>
        <v>95947.29999999999</v>
      </c>
      <c r="G168" s="28">
        <f aca="true" t="shared" si="56" ref="G168:H168">G172+G175+G169</f>
        <v>0</v>
      </c>
      <c r="H168" s="28">
        <f t="shared" si="56"/>
        <v>0</v>
      </c>
    </row>
    <row r="169" spans="1:8" ht="31.5">
      <c r="A169" s="84" t="s">
        <v>24</v>
      </c>
      <c r="B169" s="84" t="s">
        <v>9</v>
      </c>
      <c r="C169" s="84">
        <v>1410211050</v>
      </c>
      <c r="D169" s="84"/>
      <c r="E169" s="113" t="s">
        <v>364</v>
      </c>
      <c r="F169" s="28">
        <f>F170</f>
        <v>77453.7</v>
      </c>
      <c r="G169" s="28">
        <f aca="true" t="shared" si="57" ref="G169:H170">G170</f>
        <v>0</v>
      </c>
      <c r="H169" s="28">
        <f t="shared" si="57"/>
        <v>0</v>
      </c>
    </row>
    <row r="170" spans="1:8" ht="31.5">
      <c r="A170" s="84" t="s">
        <v>24</v>
      </c>
      <c r="B170" s="84" t="s">
        <v>9</v>
      </c>
      <c r="C170" s="84">
        <v>1410211050</v>
      </c>
      <c r="D170" s="86" t="s">
        <v>75</v>
      </c>
      <c r="E170" s="85" t="s">
        <v>110</v>
      </c>
      <c r="F170" s="28">
        <f>F171</f>
        <v>77453.7</v>
      </c>
      <c r="G170" s="28">
        <f t="shared" si="57"/>
        <v>0</v>
      </c>
      <c r="H170" s="28">
        <f t="shared" si="57"/>
        <v>0</v>
      </c>
    </row>
    <row r="171" spans="1:8" ht="32.25" customHeight="1">
      <c r="A171" s="84" t="s">
        <v>24</v>
      </c>
      <c r="B171" s="84" t="s">
        <v>9</v>
      </c>
      <c r="C171" s="84">
        <v>1410211050</v>
      </c>
      <c r="D171" s="84">
        <v>240</v>
      </c>
      <c r="E171" s="85" t="s">
        <v>125</v>
      </c>
      <c r="F171" s="28">
        <v>77453.7</v>
      </c>
      <c r="G171" s="28">
        <v>0</v>
      </c>
      <c r="H171" s="28">
        <v>0</v>
      </c>
    </row>
    <row r="172" spans="1:8" ht="12.75">
      <c r="A172" s="55" t="s">
        <v>24</v>
      </c>
      <c r="B172" s="55" t="s">
        <v>9</v>
      </c>
      <c r="C172" s="55">
        <v>1410220110</v>
      </c>
      <c r="D172" s="55"/>
      <c r="E172" s="56" t="s">
        <v>155</v>
      </c>
      <c r="F172" s="28">
        <f>F173</f>
        <v>1564.4</v>
      </c>
      <c r="G172" s="28">
        <f aca="true" t="shared" si="58" ref="G172:H173">G173</f>
        <v>0</v>
      </c>
      <c r="H172" s="28">
        <f t="shared" si="58"/>
        <v>0</v>
      </c>
    </row>
    <row r="173" spans="1:8" ht="31.5">
      <c r="A173" s="55" t="s">
        <v>24</v>
      </c>
      <c r="B173" s="55" t="s">
        <v>9</v>
      </c>
      <c r="C173" s="55">
        <v>1410220110</v>
      </c>
      <c r="D173" s="57" t="s">
        <v>75</v>
      </c>
      <c r="E173" s="56" t="s">
        <v>110</v>
      </c>
      <c r="F173" s="28">
        <f>F174</f>
        <v>1564.4</v>
      </c>
      <c r="G173" s="28">
        <f t="shared" si="58"/>
        <v>0</v>
      </c>
      <c r="H173" s="28">
        <f t="shared" si="58"/>
        <v>0</v>
      </c>
    </row>
    <row r="174" spans="1:8" ht="34.9" customHeight="1">
      <c r="A174" s="55" t="s">
        <v>24</v>
      </c>
      <c r="B174" s="55" t="s">
        <v>9</v>
      </c>
      <c r="C174" s="55">
        <v>1410220110</v>
      </c>
      <c r="D174" s="55">
        <v>240</v>
      </c>
      <c r="E174" s="199" t="s">
        <v>469</v>
      </c>
      <c r="F174" s="28">
        <f>2101.9-637.5+100</f>
        <v>1564.4</v>
      </c>
      <c r="G174" s="28">
        <f>6296.9-6296.9</f>
        <v>0</v>
      </c>
      <c r="H174" s="28">
        <v>0</v>
      </c>
    </row>
    <row r="175" spans="1:8" ht="31.5">
      <c r="A175" s="68" t="s">
        <v>24</v>
      </c>
      <c r="B175" s="68" t="s">
        <v>9</v>
      </c>
      <c r="C175" s="84" t="s">
        <v>363</v>
      </c>
      <c r="D175" s="68"/>
      <c r="E175" s="85" t="s">
        <v>362</v>
      </c>
      <c r="F175" s="28">
        <f>F176</f>
        <v>16929.199999999997</v>
      </c>
      <c r="G175" s="28">
        <f aca="true" t="shared" si="59" ref="G175:H176">G176</f>
        <v>0</v>
      </c>
      <c r="H175" s="28">
        <f t="shared" si="59"/>
        <v>0</v>
      </c>
    </row>
    <row r="176" spans="1:8" ht="34.9" customHeight="1">
      <c r="A176" s="68" t="s">
        <v>24</v>
      </c>
      <c r="B176" s="68" t="s">
        <v>9</v>
      </c>
      <c r="C176" s="84" t="s">
        <v>363</v>
      </c>
      <c r="D176" s="70" t="s">
        <v>75</v>
      </c>
      <c r="E176" s="69" t="s">
        <v>110</v>
      </c>
      <c r="F176" s="28">
        <f>F177</f>
        <v>16929.199999999997</v>
      </c>
      <c r="G176" s="28">
        <f t="shared" si="59"/>
        <v>0</v>
      </c>
      <c r="H176" s="28">
        <f t="shared" si="59"/>
        <v>0</v>
      </c>
    </row>
    <row r="177" spans="1:8" ht="34.9" customHeight="1">
      <c r="A177" s="68" t="s">
        <v>24</v>
      </c>
      <c r="B177" s="68" t="s">
        <v>9</v>
      </c>
      <c r="C177" s="84" t="s">
        <v>363</v>
      </c>
      <c r="D177" s="68">
        <v>240</v>
      </c>
      <c r="E177" s="199" t="s">
        <v>469</v>
      </c>
      <c r="F177" s="28">
        <f>19643.6-40-2674.4</f>
        <v>16929.199999999997</v>
      </c>
      <c r="G177" s="28">
        <v>0</v>
      </c>
      <c r="H177" s="28">
        <v>0</v>
      </c>
    </row>
    <row r="178" spans="1:8" ht="12.75">
      <c r="A178" s="55" t="s">
        <v>24</v>
      </c>
      <c r="B178" s="55" t="s">
        <v>9</v>
      </c>
      <c r="C178" s="57">
        <v>1420000000</v>
      </c>
      <c r="D178" s="55"/>
      <c r="E178" s="56" t="s">
        <v>156</v>
      </c>
      <c r="F178" s="28">
        <f>F179</f>
        <v>3500</v>
      </c>
      <c r="G178" s="28">
        <f aca="true" t="shared" si="60" ref="G178:H181">G179</f>
        <v>0</v>
      </c>
      <c r="H178" s="28">
        <f t="shared" si="60"/>
        <v>0</v>
      </c>
    </row>
    <row r="179" spans="1:8" ht="31.5">
      <c r="A179" s="55" t="s">
        <v>24</v>
      </c>
      <c r="B179" s="55" t="s">
        <v>9</v>
      </c>
      <c r="C179" s="57">
        <v>1420100000</v>
      </c>
      <c r="D179" s="55"/>
      <c r="E179" s="56" t="s">
        <v>253</v>
      </c>
      <c r="F179" s="28">
        <f>F180</f>
        <v>3500</v>
      </c>
      <c r="G179" s="28">
        <f t="shared" si="60"/>
        <v>0</v>
      </c>
      <c r="H179" s="28">
        <f t="shared" si="60"/>
        <v>0</v>
      </c>
    </row>
    <row r="180" spans="1:8" ht="12.75">
      <c r="A180" s="55" t="s">
        <v>24</v>
      </c>
      <c r="B180" s="55" t="s">
        <v>9</v>
      </c>
      <c r="C180" s="55">
        <v>1420120120</v>
      </c>
      <c r="D180" s="55"/>
      <c r="E180" s="56" t="s">
        <v>157</v>
      </c>
      <c r="F180" s="28">
        <f>F181</f>
        <v>3500</v>
      </c>
      <c r="G180" s="28">
        <f t="shared" si="60"/>
        <v>0</v>
      </c>
      <c r="H180" s="28">
        <f t="shared" si="60"/>
        <v>0</v>
      </c>
    </row>
    <row r="181" spans="1:8" ht="31.5">
      <c r="A181" s="55" t="s">
        <v>24</v>
      </c>
      <c r="B181" s="55" t="s">
        <v>9</v>
      </c>
      <c r="C181" s="55">
        <v>1420120120</v>
      </c>
      <c r="D181" s="57" t="s">
        <v>75</v>
      </c>
      <c r="E181" s="56" t="s">
        <v>110</v>
      </c>
      <c r="F181" s="28">
        <f>F182</f>
        <v>3500</v>
      </c>
      <c r="G181" s="28">
        <f t="shared" si="60"/>
        <v>0</v>
      </c>
      <c r="H181" s="28">
        <f t="shared" si="60"/>
        <v>0</v>
      </c>
    </row>
    <row r="182" spans="1:8" ht="30" customHeight="1">
      <c r="A182" s="55" t="s">
        <v>24</v>
      </c>
      <c r="B182" s="55" t="s">
        <v>9</v>
      </c>
      <c r="C182" s="55">
        <v>1420120120</v>
      </c>
      <c r="D182" s="55">
        <v>240</v>
      </c>
      <c r="E182" s="199" t="s">
        <v>469</v>
      </c>
      <c r="F182" s="28">
        <v>3500</v>
      </c>
      <c r="G182" s="28">
        <v>0</v>
      </c>
      <c r="H182" s="28">
        <v>0</v>
      </c>
    </row>
    <row r="183" spans="1:8" ht="12.75">
      <c r="A183" s="55" t="s">
        <v>24</v>
      </c>
      <c r="B183" s="55" t="s">
        <v>54</v>
      </c>
      <c r="C183" s="55" t="s">
        <v>72</v>
      </c>
      <c r="D183" s="55" t="s">
        <v>72</v>
      </c>
      <c r="E183" s="56" t="s">
        <v>31</v>
      </c>
      <c r="F183" s="28">
        <f aca="true" t="shared" si="61" ref="F183:H188">F184</f>
        <v>3935.9</v>
      </c>
      <c r="G183" s="28">
        <f t="shared" si="61"/>
        <v>3280.9</v>
      </c>
      <c r="H183" s="28">
        <f t="shared" si="61"/>
        <v>3280.9</v>
      </c>
    </row>
    <row r="184" spans="1:8" ht="47.25">
      <c r="A184" s="55" t="s">
        <v>24</v>
      </c>
      <c r="B184" s="55" t="s">
        <v>54</v>
      </c>
      <c r="C184" s="57">
        <v>1600000000</v>
      </c>
      <c r="D184" s="31"/>
      <c r="E184" s="56" t="s">
        <v>140</v>
      </c>
      <c r="F184" s="28">
        <f>F185+F198</f>
        <v>3935.9</v>
      </c>
      <c r="G184" s="28">
        <f>G185+G198</f>
        <v>3280.9</v>
      </c>
      <c r="H184" s="28">
        <f>H185+H198</f>
        <v>3280.9</v>
      </c>
    </row>
    <row r="185" spans="1:8" ht="31.5">
      <c r="A185" s="55" t="s">
        <v>24</v>
      </c>
      <c r="B185" s="55" t="s">
        <v>54</v>
      </c>
      <c r="C185" s="57">
        <v>1610000000</v>
      </c>
      <c r="D185" s="55"/>
      <c r="E185" s="56" t="s">
        <v>285</v>
      </c>
      <c r="F185" s="28">
        <f>F186+F190+F194</f>
        <v>3866.9</v>
      </c>
      <c r="G185" s="28">
        <f aca="true" t="shared" si="62" ref="G185:H185">G186+G190+G194</f>
        <v>3280.9</v>
      </c>
      <c r="H185" s="28">
        <f t="shared" si="62"/>
        <v>3280.9</v>
      </c>
    </row>
    <row r="186" spans="1:8" ht="47.25">
      <c r="A186" s="55" t="s">
        <v>24</v>
      </c>
      <c r="B186" s="55" t="s">
        <v>54</v>
      </c>
      <c r="C186" s="57">
        <v>1610100000</v>
      </c>
      <c r="D186" s="55"/>
      <c r="E186" s="56" t="s">
        <v>254</v>
      </c>
      <c r="F186" s="28">
        <f t="shared" si="61"/>
        <v>2204.7</v>
      </c>
      <c r="G186" s="28">
        <f t="shared" si="61"/>
        <v>2874.5</v>
      </c>
      <c r="H186" s="28">
        <f t="shared" si="61"/>
        <v>2874.5</v>
      </c>
    </row>
    <row r="187" spans="1:8" ht="31.5">
      <c r="A187" s="55" t="s">
        <v>24</v>
      </c>
      <c r="B187" s="55" t="s">
        <v>54</v>
      </c>
      <c r="C187" s="57">
        <v>1610120010</v>
      </c>
      <c r="D187" s="55"/>
      <c r="E187" s="56" t="s">
        <v>151</v>
      </c>
      <c r="F187" s="28">
        <f t="shared" si="61"/>
        <v>2204.7</v>
      </c>
      <c r="G187" s="28">
        <f t="shared" si="61"/>
        <v>2874.5</v>
      </c>
      <c r="H187" s="28">
        <f t="shared" si="61"/>
        <v>2874.5</v>
      </c>
    </row>
    <row r="188" spans="1:8" ht="31.5">
      <c r="A188" s="55" t="s">
        <v>24</v>
      </c>
      <c r="B188" s="55" t="s">
        <v>54</v>
      </c>
      <c r="C188" s="57">
        <v>1610120010</v>
      </c>
      <c r="D188" s="57" t="s">
        <v>112</v>
      </c>
      <c r="E188" s="56" t="s">
        <v>113</v>
      </c>
      <c r="F188" s="28">
        <f t="shared" si="61"/>
        <v>2204.7</v>
      </c>
      <c r="G188" s="28">
        <f t="shared" si="61"/>
        <v>2874.5</v>
      </c>
      <c r="H188" s="28">
        <f t="shared" si="61"/>
        <v>2874.5</v>
      </c>
    </row>
    <row r="189" spans="1:8" ht="12.75">
      <c r="A189" s="55" t="s">
        <v>24</v>
      </c>
      <c r="B189" s="55" t="s">
        <v>54</v>
      </c>
      <c r="C189" s="57">
        <v>1610120010</v>
      </c>
      <c r="D189" s="55">
        <v>610</v>
      </c>
      <c r="E189" s="56" t="s">
        <v>130</v>
      </c>
      <c r="F189" s="28">
        <v>2204.7</v>
      </c>
      <c r="G189" s="28">
        <v>2874.5</v>
      </c>
      <c r="H189" s="28">
        <v>2874.5</v>
      </c>
    </row>
    <row r="190" spans="1:8" ht="63">
      <c r="A190" s="55" t="s">
        <v>24</v>
      </c>
      <c r="B190" s="55" t="s">
        <v>54</v>
      </c>
      <c r="C190" s="57">
        <v>1610200000</v>
      </c>
      <c r="D190" s="55"/>
      <c r="E190" s="56" t="s">
        <v>296</v>
      </c>
      <c r="F190" s="28">
        <f>F191</f>
        <v>264.3</v>
      </c>
      <c r="G190" s="28">
        <f aca="true" t="shared" si="63" ref="G190:H196">G191</f>
        <v>0</v>
      </c>
      <c r="H190" s="28">
        <f t="shared" si="63"/>
        <v>0</v>
      </c>
    </row>
    <row r="191" spans="1:8" ht="31.5">
      <c r="A191" s="55" t="s">
        <v>24</v>
      </c>
      <c r="B191" s="55" t="s">
        <v>54</v>
      </c>
      <c r="C191" s="57">
        <v>1610220030</v>
      </c>
      <c r="D191" s="55"/>
      <c r="E191" s="56" t="s">
        <v>292</v>
      </c>
      <c r="F191" s="28">
        <f>F192</f>
        <v>264.3</v>
      </c>
      <c r="G191" s="28">
        <f t="shared" si="63"/>
        <v>0</v>
      </c>
      <c r="H191" s="28">
        <f t="shared" si="63"/>
        <v>0</v>
      </c>
    </row>
    <row r="192" spans="1:8" ht="31.5">
      <c r="A192" s="55" t="s">
        <v>24</v>
      </c>
      <c r="B192" s="55" t="s">
        <v>54</v>
      </c>
      <c r="C192" s="57">
        <v>1610220030</v>
      </c>
      <c r="D192" s="57" t="s">
        <v>112</v>
      </c>
      <c r="E192" s="56" t="s">
        <v>113</v>
      </c>
      <c r="F192" s="28">
        <f>F193</f>
        <v>264.3</v>
      </c>
      <c r="G192" s="28">
        <f t="shared" si="63"/>
        <v>0</v>
      </c>
      <c r="H192" s="28">
        <f t="shared" si="63"/>
        <v>0</v>
      </c>
    </row>
    <row r="193" spans="1:8" ht="12.75">
      <c r="A193" s="55" t="s">
        <v>24</v>
      </c>
      <c r="B193" s="55" t="s">
        <v>54</v>
      </c>
      <c r="C193" s="57">
        <v>1610220030</v>
      </c>
      <c r="D193" s="55">
        <v>610</v>
      </c>
      <c r="E193" s="56" t="s">
        <v>130</v>
      </c>
      <c r="F193" s="28">
        <f>518-253.7</f>
        <v>264.3</v>
      </c>
      <c r="G193" s="28">
        <v>0</v>
      </c>
      <c r="H193" s="28">
        <v>0</v>
      </c>
    </row>
    <row r="194" spans="1:8" ht="31.5">
      <c r="A194" s="55" t="s">
        <v>24</v>
      </c>
      <c r="B194" s="55" t="s">
        <v>54</v>
      </c>
      <c r="C194" s="57">
        <v>1610300000</v>
      </c>
      <c r="D194" s="55"/>
      <c r="E194" s="56" t="s">
        <v>297</v>
      </c>
      <c r="F194" s="28">
        <f>F195</f>
        <v>1397.9</v>
      </c>
      <c r="G194" s="28">
        <f aca="true" t="shared" si="64" ref="G194:H194">G195</f>
        <v>406.4</v>
      </c>
      <c r="H194" s="28">
        <f t="shared" si="64"/>
        <v>406.4</v>
      </c>
    </row>
    <row r="195" spans="1:8" ht="12.75">
      <c r="A195" s="55" t="s">
        <v>24</v>
      </c>
      <c r="B195" s="55" t="s">
        <v>54</v>
      </c>
      <c r="C195" s="57">
        <v>1610320200</v>
      </c>
      <c r="D195" s="55"/>
      <c r="E195" s="162" t="s">
        <v>186</v>
      </c>
      <c r="F195" s="28">
        <f>F196</f>
        <v>1397.9</v>
      </c>
      <c r="G195" s="28">
        <f t="shared" si="63"/>
        <v>406.4</v>
      </c>
      <c r="H195" s="28">
        <f t="shared" si="63"/>
        <v>406.4</v>
      </c>
    </row>
    <row r="196" spans="1:8" ht="31.5">
      <c r="A196" s="55" t="s">
        <v>24</v>
      </c>
      <c r="B196" s="55" t="s">
        <v>54</v>
      </c>
      <c r="C196" s="57">
        <v>1610320200</v>
      </c>
      <c r="D196" s="57" t="s">
        <v>112</v>
      </c>
      <c r="E196" s="56" t="s">
        <v>113</v>
      </c>
      <c r="F196" s="28">
        <f>F197</f>
        <v>1397.9</v>
      </c>
      <c r="G196" s="28">
        <f t="shared" si="63"/>
        <v>406.4</v>
      </c>
      <c r="H196" s="28">
        <f t="shared" si="63"/>
        <v>406.4</v>
      </c>
    </row>
    <row r="197" spans="1:8" ht="12.75">
      <c r="A197" s="55" t="s">
        <v>24</v>
      </c>
      <c r="B197" s="55" t="s">
        <v>54</v>
      </c>
      <c r="C197" s="57">
        <v>1610320200</v>
      </c>
      <c r="D197" s="55">
        <v>610</v>
      </c>
      <c r="E197" s="56" t="s">
        <v>130</v>
      </c>
      <c r="F197" s="28">
        <f>397.9-397.9+1000+397.9</f>
        <v>1397.9</v>
      </c>
      <c r="G197" s="28">
        <v>406.4</v>
      </c>
      <c r="H197" s="28">
        <v>406.4</v>
      </c>
    </row>
    <row r="198" spans="1:8" ht="47.25">
      <c r="A198" s="55" t="s">
        <v>24</v>
      </c>
      <c r="B198" s="55" t="s">
        <v>54</v>
      </c>
      <c r="C198" s="57">
        <v>1630000000</v>
      </c>
      <c r="D198" s="55"/>
      <c r="E198" s="76" t="s">
        <v>286</v>
      </c>
      <c r="F198" s="28">
        <f>F199+F203</f>
        <v>69</v>
      </c>
      <c r="G198" s="28">
        <f>G199+G203</f>
        <v>0</v>
      </c>
      <c r="H198" s="28">
        <f>H199+H203</f>
        <v>0</v>
      </c>
    </row>
    <row r="199" spans="1:8" ht="47.25">
      <c r="A199" s="55" t="s">
        <v>24</v>
      </c>
      <c r="B199" s="55" t="s">
        <v>54</v>
      </c>
      <c r="C199" s="55">
        <v>1630100000</v>
      </c>
      <c r="D199" s="55"/>
      <c r="E199" s="56" t="s">
        <v>287</v>
      </c>
      <c r="F199" s="28">
        <f>F200</f>
        <v>53.599999999999994</v>
      </c>
      <c r="G199" s="28">
        <f aca="true" t="shared" si="65" ref="G199:H199">G200</f>
        <v>0</v>
      </c>
      <c r="H199" s="28">
        <f t="shared" si="65"/>
        <v>0</v>
      </c>
    </row>
    <row r="200" spans="1:8" ht="47.25">
      <c r="A200" s="55" t="s">
        <v>24</v>
      </c>
      <c r="B200" s="55" t="s">
        <v>54</v>
      </c>
      <c r="C200" s="55">
        <v>1630120180</v>
      </c>
      <c r="D200" s="55"/>
      <c r="E200" s="56" t="s">
        <v>288</v>
      </c>
      <c r="F200" s="28">
        <f>F201</f>
        <v>53.599999999999994</v>
      </c>
      <c r="G200" s="28">
        <f aca="true" t="shared" si="66" ref="G200:H201">G201</f>
        <v>0</v>
      </c>
      <c r="H200" s="28">
        <f t="shared" si="66"/>
        <v>0</v>
      </c>
    </row>
    <row r="201" spans="1:8" ht="31.5">
      <c r="A201" s="55" t="s">
        <v>24</v>
      </c>
      <c r="B201" s="55" t="s">
        <v>54</v>
      </c>
      <c r="C201" s="55">
        <v>1630120180</v>
      </c>
      <c r="D201" s="57" t="s">
        <v>112</v>
      </c>
      <c r="E201" s="56" t="s">
        <v>113</v>
      </c>
      <c r="F201" s="28">
        <f>F202</f>
        <v>53.599999999999994</v>
      </c>
      <c r="G201" s="28">
        <f t="shared" si="66"/>
        <v>0</v>
      </c>
      <c r="H201" s="28">
        <f t="shared" si="66"/>
        <v>0</v>
      </c>
    </row>
    <row r="202" spans="1:8" ht="12.75">
      <c r="A202" s="55" t="s">
        <v>24</v>
      </c>
      <c r="B202" s="55" t="s">
        <v>54</v>
      </c>
      <c r="C202" s="55">
        <v>1630120180</v>
      </c>
      <c r="D202" s="55">
        <v>610</v>
      </c>
      <c r="E202" s="56" t="s">
        <v>130</v>
      </c>
      <c r="F202" s="28">
        <f>26.3+60-32.7</f>
        <v>53.599999999999994</v>
      </c>
      <c r="G202" s="28">
        <v>0</v>
      </c>
      <c r="H202" s="28">
        <v>0</v>
      </c>
    </row>
    <row r="203" spans="1:8" ht="47.25">
      <c r="A203" s="55" t="s">
        <v>24</v>
      </c>
      <c r="B203" s="55" t="s">
        <v>54</v>
      </c>
      <c r="C203" s="55">
        <v>1630200000</v>
      </c>
      <c r="D203" s="55"/>
      <c r="E203" s="56" t="s">
        <v>289</v>
      </c>
      <c r="F203" s="28">
        <f>F204</f>
        <v>15.4</v>
      </c>
      <c r="G203" s="28">
        <f aca="true" t="shared" si="67" ref="G203:H205">G204</f>
        <v>0</v>
      </c>
      <c r="H203" s="28">
        <f t="shared" si="67"/>
        <v>0</v>
      </c>
    </row>
    <row r="204" spans="1:8" ht="20.45" customHeight="1">
      <c r="A204" s="55" t="s">
        <v>24</v>
      </c>
      <c r="B204" s="55" t="s">
        <v>54</v>
      </c>
      <c r="C204" s="55">
        <v>1630220530</v>
      </c>
      <c r="D204" s="55"/>
      <c r="E204" s="56" t="s">
        <v>290</v>
      </c>
      <c r="F204" s="28">
        <f>F205</f>
        <v>15.4</v>
      </c>
      <c r="G204" s="28">
        <f t="shared" si="67"/>
        <v>0</v>
      </c>
      <c r="H204" s="28">
        <f t="shared" si="67"/>
        <v>0</v>
      </c>
    </row>
    <row r="205" spans="1:8" ht="31.5">
      <c r="A205" s="55" t="s">
        <v>24</v>
      </c>
      <c r="B205" s="55" t="s">
        <v>54</v>
      </c>
      <c r="C205" s="55">
        <v>1630220530</v>
      </c>
      <c r="D205" s="57" t="s">
        <v>112</v>
      </c>
      <c r="E205" s="56" t="s">
        <v>113</v>
      </c>
      <c r="F205" s="28">
        <f>F206</f>
        <v>15.4</v>
      </c>
      <c r="G205" s="28">
        <f t="shared" si="67"/>
        <v>0</v>
      </c>
      <c r="H205" s="28">
        <f t="shared" si="67"/>
        <v>0</v>
      </c>
    </row>
    <row r="206" spans="1:8" ht="12.75">
      <c r="A206" s="55" t="s">
        <v>24</v>
      </c>
      <c r="B206" s="55" t="s">
        <v>54</v>
      </c>
      <c r="C206" s="55">
        <v>1630220530</v>
      </c>
      <c r="D206" s="55">
        <v>610</v>
      </c>
      <c r="E206" s="56" t="s">
        <v>130</v>
      </c>
      <c r="F206" s="28">
        <v>15.4</v>
      </c>
      <c r="G206" s="28">
        <v>0</v>
      </c>
      <c r="H206" s="28">
        <v>0</v>
      </c>
    </row>
    <row r="207" spans="1:8" ht="12.75">
      <c r="A207" s="55" t="s">
        <v>24</v>
      </c>
      <c r="B207" s="55" t="s">
        <v>63</v>
      </c>
      <c r="C207" s="55" t="s">
        <v>72</v>
      </c>
      <c r="D207" s="55" t="s">
        <v>72</v>
      </c>
      <c r="E207" s="9" t="s">
        <v>32</v>
      </c>
      <c r="F207" s="28">
        <f>F218+F208</f>
        <v>41481.600000000006</v>
      </c>
      <c r="G207" s="28">
        <f>G218+G208</f>
        <v>14653.3</v>
      </c>
      <c r="H207" s="28">
        <f>H218+H208</f>
        <v>14653.3</v>
      </c>
    </row>
    <row r="208" spans="1:10" ht="12.75">
      <c r="A208" s="68" t="s">
        <v>24</v>
      </c>
      <c r="B208" s="29" t="s">
        <v>342</v>
      </c>
      <c r="C208" s="68"/>
      <c r="D208" s="68"/>
      <c r="E208" s="15" t="s">
        <v>343</v>
      </c>
      <c r="F208" s="28">
        <f>F209</f>
        <v>6123.200000000001</v>
      </c>
      <c r="G208" s="28">
        <f aca="true" t="shared" si="68" ref="G208:H208">G209</f>
        <v>0</v>
      </c>
      <c r="H208" s="28">
        <f t="shared" si="68"/>
        <v>0</v>
      </c>
      <c r="J208" s="4"/>
    </row>
    <row r="209" spans="1:8" ht="47.25">
      <c r="A209" s="68" t="s">
        <v>24</v>
      </c>
      <c r="B209" s="29" t="s">
        <v>342</v>
      </c>
      <c r="C209" s="70">
        <v>1400000000</v>
      </c>
      <c r="D209" s="68"/>
      <c r="E209" s="69" t="s">
        <v>250</v>
      </c>
      <c r="F209" s="28">
        <f>F210</f>
        <v>6123.200000000001</v>
      </c>
      <c r="G209" s="28">
        <f aca="true" t="shared" si="69" ref="G209:H209">G210</f>
        <v>0</v>
      </c>
      <c r="H209" s="28">
        <f t="shared" si="69"/>
        <v>0</v>
      </c>
    </row>
    <row r="210" spans="1:8" ht="12.75">
      <c r="A210" s="68" t="s">
        <v>24</v>
      </c>
      <c r="B210" s="29" t="s">
        <v>342</v>
      </c>
      <c r="C210" s="70">
        <v>1430000000</v>
      </c>
      <c r="D210" s="68"/>
      <c r="E210" s="9" t="s">
        <v>344</v>
      </c>
      <c r="F210" s="28">
        <f>F211</f>
        <v>6123.200000000001</v>
      </c>
      <c r="G210" s="28">
        <f aca="true" t="shared" si="70" ref="G210:H210">G211</f>
        <v>0</v>
      </c>
      <c r="H210" s="28">
        <f t="shared" si="70"/>
        <v>0</v>
      </c>
    </row>
    <row r="211" spans="1:8" ht="31.5">
      <c r="A211" s="68" t="s">
        <v>24</v>
      </c>
      <c r="B211" s="29" t="s">
        <v>342</v>
      </c>
      <c r="C211" s="68">
        <v>1430300000</v>
      </c>
      <c r="D211" s="68"/>
      <c r="E211" s="9" t="s">
        <v>345</v>
      </c>
      <c r="F211" s="28">
        <f>F215+F212</f>
        <v>6123.200000000001</v>
      </c>
      <c r="G211" s="28">
        <f aca="true" t="shared" si="71" ref="G211:H211">G215+G212</f>
        <v>0</v>
      </c>
      <c r="H211" s="28">
        <f t="shared" si="71"/>
        <v>0</v>
      </c>
    </row>
    <row r="212" spans="1:8" ht="31.5">
      <c r="A212" s="112" t="s">
        <v>24</v>
      </c>
      <c r="B212" s="29" t="s">
        <v>342</v>
      </c>
      <c r="C212" s="112">
        <v>1430310100</v>
      </c>
      <c r="D212" s="112"/>
      <c r="E212" s="74" t="s">
        <v>386</v>
      </c>
      <c r="F212" s="28">
        <f>F213</f>
        <v>4898.6</v>
      </c>
      <c r="G212" s="28">
        <f aca="true" t="shared" si="72" ref="G212:H213">G213</f>
        <v>0</v>
      </c>
      <c r="H212" s="28">
        <f t="shared" si="72"/>
        <v>0</v>
      </c>
    </row>
    <row r="213" spans="1:8" ht="31.5">
      <c r="A213" s="112" t="s">
        <v>24</v>
      </c>
      <c r="B213" s="29" t="s">
        <v>342</v>
      </c>
      <c r="C213" s="112">
        <v>1430310100</v>
      </c>
      <c r="D213" s="114" t="s">
        <v>78</v>
      </c>
      <c r="E213" s="113" t="s">
        <v>111</v>
      </c>
      <c r="F213" s="28">
        <f>F214</f>
        <v>4898.6</v>
      </c>
      <c r="G213" s="28">
        <f t="shared" si="72"/>
        <v>0</v>
      </c>
      <c r="H213" s="28">
        <f t="shared" si="72"/>
        <v>0</v>
      </c>
    </row>
    <row r="214" spans="1:8" ht="12.75">
      <c r="A214" s="112" t="s">
        <v>24</v>
      </c>
      <c r="B214" s="29" t="s">
        <v>342</v>
      </c>
      <c r="C214" s="112">
        <v>1430310100</v>
      </c>
      <c r="D214" s="114" t="s">
        <v>147</v>
      </c>
      <c r="E214" s="113" t="s">
        <v>148</v>
      </c>
      <c r="F214" s="28">
        <v>4898.6</v>
      </c>
      <c r="G214" s="28">
        <v>0</v>
      </c>
      <c r="H214" s="28">
        <v>0</v>
      </c>
    </row>
    <row r="215" spans="1:8" ht="31.5">
      <c r="A215" s="68" t="s">
        <v>24</v>
      </c>
      <c r="B215" s="29" t="s">
        <v>342</v>
      </c>
      <c r="C215" s="68" t="s">
        <v>346</v>
      </c>
      <c r="D215" s="68"/>
      <c r="E215" s="74" t="s">
        <v>350</v>
      </c>
      <c r="F215" s="28">
        <f>F216</f>
        <v>1224.6000000000001</v>
      </c>
      <c r="G215" s="28">
        <f aca="true" t="shared" si="73" ref="G215:H215">G216</f>
        <v>0</v>
      </c>
      <c r="H215" s="28">
        <f t="shared" si="73"/>
        <v>0</v>
      </c>
    </row>
    <row r="216" spans="1:8" ht="31.5">
      <c r="A216" s="68" t="s">
        <v>24</v>
      </c>
      <c r="B216" s="29" t="s">
        <v>342</v>
      </c>
      <c r="C216" s="68" t="s">
        <v>346</v>
      </c>
      <c r="D216" s="82" t="s">
        <v>78</v>
      </c>
      <c r="E216" s="81" t="s">
        <v>111</v>
      </c>
      <c r="F216" s="28">
        <f>F217</f>
        <v>1224.6000000000001</v>
      </c>
      <c r="G216" s="28">
        <f aca="true" t="shared" si="74" ref="G216:H216">G217</f>
        <v>0</v>
      </c>
      <c r="H216" s="28">
        <f t="shared" si="74"/>
        <v>0</v>
      </c>
    </row>
    <row r="217" spans="1:8" ht="18.75" customHeight="1">
      <c r="A217" s="68" t="s">
        <v>24</v>
      </c>
      <c r="B217" s="29" t="s">
        <v>342</v>
      </c>
      <c r="C217" s="68" t="s">
        <v>346</v>
      </c>
      <c r="D217" s="82" t="s">
        <v>147</v>
      </c>
      <c r="E217" s="81" t="s">
        <v>148</v>
      </c>
      <c r="F217" s="28">
        <f>1199+25.7-0.1</f>
        <v>1224.6000000000001</v>
      </c>
      <c r="G217" s="28">
        <v>0</v>
      </c>
      <c r="H217" s="28">
        <v>0</v>
      </c>
    </row>
    <row r="218" spans="1:8" ht="12.75">
      <c r="A218" s="55" t="s">
        <v>24</v>
      </c>
      <c r="B218" s="55" t="s">
        <v>55</v>
      </c>
      <c r="C218" s="55" t="s">
        <v>72</v>
      </c>
      <c r="D218" s="55" t="s">
        <v>72</v>
      </c>
      <c r="E218" s="56" t="s">
        <v>33</v>
      </c>
      <c r="F218" s="28">
        <f>F219</f>
        <v>35358.4</v>
      </c>
      <c r="G218" s="28">
        <f aca="true" t="shared" si="75" ref="G218:H218">G219</f>
        <v>14653.3</v>
      </c>
      <c r="H218" s="28">
        <f t="shared" si="75"/>
        <v>14653.3</v>
      </c>
    </row>
    <row r="219" spans="1:8" ht="47.25">
      <c r="A219" s="55" t="s">
        <v>24</v>
      </c>
      <c r="B219" s="55" t="s">
        <v>55</v>
      </c>
      <c r="C219" s="57">
        <v>1300000000</v>
      </c>
      <c r="D219" s="55"/>
      <c r="E219" s="99" t="s">
        <v>248</v>
      </c>
      <c r="F219" s="28">
        <f>F220+F235+F265</f>
        <v>35358.4</v>
      </c>
      <c r="G219" s="28">
        <f>G220+G235+G265</f>
        <v>14653.3</v>
      </c>
      <c r="H219" s="28">
        <f>H220+H235+H265</f>
        <v>14653.3</v>
      </c>
    </row>
    <row r="220" spans="1:8" ht="47.25">
      <c r="A220" s="55" t="s">
        <v>24</v>
      </c>
      <c r="B220" s="55" t="s">
        <v>55</v>
      </c>
      <c r="C220" s="57">
        <v>1310000000</v>
      </c>
      <c r="D220" s="55"/>
      <c r="E220" s="56" t="s">
        <v>299</v>
      </c>
      <c r="F220" s="28">
        <f>F221+F228</f>
        <v>16120.2</v>
      </c>
      <c r="G220" s="28">
        <f aca="true" t="shared" si="76" ref="G220:H220">G221+G228</f>
        <v>0</v>
      </c>
      <c r="H220" s="28">
        <f t="shared" si="76"/>
        <v>0</v>
      </c>
    </row>
    <row r="221" spans="1:8" ht="31.5">
      <c r="A221" s="55" t="s">
        <v>24</v>
      </c>
      <c r="B221" s="55" t="s">
        <v>55</v>
      </c>
      <c r="C221" s="57">
        <v>1310100000</v>
      </c>
      <c r="D221" s="31"/>
      <c r="E221" s="161" t="s">
        <v>158</v>
      </c>
      <c r="F221" s="28">
        <f>F225+F222</f>
        <v>7346.2</v>
      </c>
      <c r="G221" s="28">
        <f>G225</f>
        <v>0</v>
      </c>
      <c r="H221" s="28">
        <f>H225</f>
        <v>0</v>
      </c>
    </row>
    <row r="222" spans="1:8" ht="12.75">
      <c r="A222" s="92" t="s">
        <v>24</v>
      </c>
      <c r="B222" s="92" t="s">
        <v>55</v>
      </c>
      <c r="C222" s="92">
        <v>1310120100</v>
      </c>
      <c r="D222" s="92"/>
      <c r="E222" s="52" t="s">
        <v>373</v>
      </c>
      <c r="F222" s="28">
        <f>F223</f>
        <v>155.4</v>
      </c>
      <c r="G222" s="28">
        <f aca="true" t="shared" si="77" ref="G222:H223">G223</f>
        <v>0</v>
      </c>
      <c r="H222" s="28">
        <f t="shared" si="77"/>
        <v>0</v>
      </c>
    </row>
    <row r="223" spans="1:8" ht="31.5">
      <c r="A223" s="92" t="s">
        <v>24</v>
      </c>
      <c r="B223" s="92" t="s">
        <v>55</v>
      </c>
      <c r="C223" s="92">
        <v>1310120100</v>
      </c>
      <c r="D223" s="94" t="s">
        <v>75</v>
      </c>
      <c r="E223" s="93" t="s">
        <v>110</v>
      </c>
      <c r="F223" s="28">
        <f>F224</f>
        <v>155.4</v>
      </c>
      <c r="G223" s="28">
        <f t="shared" si="77"/>
        <v>0</v>
      </c>
      <c r="H223" s="28">
        <f t="shared" si="77"/>
        <v>0</v>
      </c>
    </row>
    <row r="224" spans="1:8" ht="31.15" customHeight="1">
      <c r="A224" s="92" t="s">
        <v>24</v>
      </c>
      <c r="B224" s="92" t="s">
        <v>55</v>
      </c>
      <c r="C224" s="92">
        <v>1310120100</v>
      </c>
      <c r="D224" s="92">
        <v>240</v>
      </c>
      <c r="E224" s="93" t="s">
        <v>469</v>
      </c>
      <c r="F224" s="28">
        <v>155.4</v>
      </c>
      <c r="G224" s="28">
        <v>0</v>
      </c>
      <c r="H224" s="28">
        <v>0</v>
      </c>
    </row>
    <row r="225" spans="1:8" ht="16.5" customHeight="1">
      <c r="A225" s="55" t="s">
        <v>24</v>
      </c>
      <c r="B225" s="55" t="s">
        <v>55</v>
      </c>
      <c r="C225" s="55" t="s">
        <v>159</v>
      </c>
      <c r="D225" s="55"/>
      <c r="E225" s="52" t="s">
        <v>351</v>
      </c>
      <c r="F225" s="28">
        <f>F226</f>
        <v>7190.8</v>
      </c>
      <c r="G225" s="28">
        <f aca="true" t="shared" si="78" ref="G225:H226">G226</f>
        <v>0</v>
      </c>
      <c r="H225" s="28">
        <f t="shared" si="78"/>
        <v>0</v>
      </c>
    </row>
    <row r="226" spans="1:8" ht="31.5">
      <c r="A226" s="55" t="s">
        <v>24</v>
      </c>
      <c r="B226" s="55" t="s">
        <v>55</v>
      </c>
      <c r="C226" s="55" t="s">
        <v>159</v>
      </c>
      <c r="D226" s="57" t="s">
        <v>75</v>
      </c>
      <c r="E226" s="56" t="s">
        <v>110</v>
      </c>
      <c r="F226" s="28">
        <f>F227</f>
        <v>7190.8</v>
      </c>
      <c r="G226" s="28">
        <f t="shared" si="78"/>
        <v>0</v>
      </c>
      <c r="H226" s="28">
        <f t="shared" si="78"/>
        <v>0</v>
      </c>
    </row>
    <row r="227" spans="1:8" ht="33" customHeight="1">
      <c r="A227" s="55" t="s">
        <v>24</v>
      </c>
      <c r="B227" s="55" t="s">
        <v>55</v>
      </c>
      <c r="C227" s="55" t="s">
        <v>159</v>
      </c>
      <c r="D227" s="55">
        <v>240</v>
      </c>
      <c r="E227" s="199" t="s">
        <v>469</v>
      </c>
      <c r="F227" s="28">
        <f>487.8+6933.6+39.3-200.8-69.1</f>
        <v>7190.8</v>
      </c>
      <c r="G227" s="28">
        <v>0</v>
      </c>
      <c r="H227" s="28">
        <v>0</v>
      </c>
    </row>
    <row r="228" spans="1:8" ht="29.25" customHeight="1">
      <c r="A228" s="55" t="s">
        <v>24</v>
      </c>
      <c r="B228" s="55" t="s">
        <v>55</v>
      </c>
      <c r="C228" s="57">
        <v>1310200000</v>
      </c>
      <c r="D228" s="55"/>
      <c r="E228" s="161" t="s">
        <v>160</v>
      </c>
      <c r="F228" s="28">
        <f>F232+F229</f>
        <v>8774</v>
      </c>
      <c r="G228" s="28">
        <f aca="true" t="shared" si="79" ref="G228:H228">G232+G229</f>
        <v>0</v>
      </c>
      <c r="H228" s="28">
        <f t="shared" si="79"/>
        <v>0</v>
      </c>
    </row>
    <row r="229" spans="1:8" ht="12.75">
      <c r="A229" s="92" t="s">
        <v>24</v>
      </c>
      <c r="B229" s="92" t="s">
        <v>55</v>
      </c>
      <c r="C229" s="92">
        <v>1310220100</v>
      </c>
      <c r="D229" s="92"/>
      <c r="E229" s="52" t="s">
        <v>373</v>
      </c>
      <c r="F229" s="28">
        <f>F230</f>
        <v>181.8</v>
      </c>
      <c r="G229" s="28">
        <f aca="true" t="shared" si="80" ref="G229:H230">G230</f>
        <v>0</v>
      </c>
      <c r="H229" s="28">
        <f t="shared" si="80"/>
        <v>0</v>
      </c>
    </row>
    <row r="230" spans="1:8" ht="31.5">
      <c r="A230" s="92" t="s">
        <v>24</v>
      </c>
      <c r="B230" s="92" t="s">
        <v>55</v>
      </c>
      <c r="C230" s="92">
        <v>1310220100</v>
      </c>
      <c r="D230" s="94" t="s">
        <v>75</v>
      </c>
      <c r="E230" s="93" t="s">
        <v>110</v>
      </c>
      <c r="F230" s="28">
        <f>F231</f>
        <v>181.8</v>
      </c>
      <c r="G230" s="28">
        <f t="shared" si="80"/>
        <v>0</v>
      </c>
      <c r="H230" s="28">
        <f t="shared" si="80"/>
        <v>0</v>
      </c>
    </row>
    <row r="231" spans="1:8" ht="30.75" customHeight="1">
      <c r="A231" s="92" t="s">
        <v>24</v>
      </c>
      <c r="B231" s="92" t="s">
        <v>55</v>
      </c>
      <c r="C231" s="96">
        <v>1310220100</v>
      </c>
      <c r="D231" s="92">
        <v>240</v>
      </c>
      <c r="E231" s="199" t="s">
        <v>469</v>
      </c>
      <c r="F231" s="28">
        <f>182.4-0.6+100-100</f>
        <v>181.8</v>
      </c>
      <c r="G231" s="28">
        <v>0</v>
      </c>
      <c r="H231" s="28">
        <v>0</v>
      </c>
    </row>
    <row r="232" spans="1:8" ht="15.75" customHeight="1">
      <c r="A232" s="55" t="s">
        <v>24</v>
      </c>
      <c r="B232" s="55" t="s">
        <v>55</v>
      </c>
      <c r="C232" s="55" t="s">
        <v>161</v>
      </c>
      <c r="D232" s="55"/>
      <c r="E232" s="52" t="s">
        <v>351</v>
      </c>
      <c r="F232" s="28">
        <f>F233</f>
        <v>8592.2</v>
      </c>
      <c r="G232" s="28">
        <f aca="true" t="shared" si="81" ref="G232:H233">G233</f>
        <v>0</v>
      </c>
      <c r="H232" s="28">
        <f t="shared" si="81"/>
        <v>0</v>
      </c>
    </row>
    <row r="233" spans="1:8" ht="31.5">
      <c r="A233" s="55" t="s">
        <v>24</v>
      </c>
      <c r="B233" s="55" t="s">
        <v>55</v>
      </c>
      <c r="C233" s="55" t="s">
        <v>161</v>
      </c>
      <c r="D233" s="57" t="s">
        <v>75</v>
      </c>
      <c r="E233" s="56" t="s">
        <v>110</v>
      </c>
      <c r="F233" s="28">
        <f>F234</f>
        <v>8592.2</v>
      </c>
      <c r="G233" s="28">
        <f t="shared" si="81"/>
        <v>0</v>
      </c>
      <c r="H233" s="28">
        <f t="shared" si="81"/>
        <v>0</v>
      </c>
    </row>
    <row r="234" spans="1:8" ht="34.15" customHeight="1">
      <c r="A234" s="55" t="s">
        <v>24</v>
      </c>
      <c r="B234" s="55" t="s">
        <v>55</v>
      </c>
      <c r="C234" s="55" t="s">
        <v>161</v>
      </c>
      <c r="D234" s="55">
        <v>240</v>
      </c>
      <c r="E234" s="199" t="s">
        <v>469</v>
      </c>
      <c r="F234" s="28">
        <f>136.2+8139.4+46.1+200.8+69.7</f>
        <v>8592.2</v>
      </c>
      <c r="G234" s="28">
        <v>0</v>
      </c>
      <c r="H234" s="28">
        <v>0</v>
      </c>
    </row>
    <row r="235" spans="1:8" ht="12.75">
      <c r="A235" s="55" t="s">
        <v>24</v>
      </c>
      <c r="B235" s="55" t="s">
        <v>55</v>
      </c>
      <c r="C235" s="57">
        <v>1320000000</v>
      </c>
      <c r="D235" s="55"/>
      <c r="E235" s="56" t="s">
        <v>255</v>
      </c>
      <c r="F235" s="28">
        <f>F236+F246</f>
        <v>18972.399999999998</v>
      </c>
      <c r="G235" s="28">
        <f aca="true" t="shared" si="82" ref="G235:H235">G236+G246</f>
        <v>14349.3</v>
      </c>
      <c r="H235" s="28">
        <f t="shared" si="82"/>
        <v>14349.3</v>
      </c>
    </row>
    <row r="236" spans="1:8" ht="31.5">
      <c r="A236" s="55" t="s">
        <v>24</v>
      </c>
      <c r="B236" s="55" t="s">
        <v>55</v>
      </c>
      <c r="C236" s="57">
        <v>1320100000</v>
      </c>
      <c r="D236" s="55"/>
      <c r="E236" s="97" t="s">
        <v>256</v>
      </c>
      <c r="F236" s="28">
        <f>F243+F237+F240</f>
        <v>2790.7000000000003</v>
      </c>
      <c r="G236" s="28">
        <f aca="true" t="shared" si="83" ref="G236:H236">G243+G237+G240</f>
        <v>0</v>
      </c>
      <c r="H236" s="28">
        <f t="shared" si="83"/>
        <v>0</v>
      </c>
    </row>
    <row r="237" spans="1:8" ht="31.5">
      <c r="A237" s="84" t="s">
        <v>24</v>
      </c>
      <c r="B237" s="84" t="s">
        <v>55</v>
      </c>
      <c r="C237" s="84">
        <v>1320110430</v>
      </c>
      <c r="D237" s="84"/>
      <c r="E237" s="85" t="s">
        <v>361</v>
      </c>
      <c r="F237" s="28">
        <f>F238</f>
        <v>1162</v>
      </c>
      <c r="G237" s="28">
        <f aca="true" t="shared" si="84" ref="G237:H238">G238</f>
        <v>0</v>
      </c>
      <c r="H237" s="28">
        <f t="shared" si="84"/>
        <v>0</v>
      </c>
    </row>
    <row r="238" spans="1:8" ht="31.5">
      <c r="A238" s="84" t="s">
        <v>24</v>
      </c>
      <c r="B238" s="84" t="s">
        <v>55</v>
      </c>
      <c r="C238" s="84">
        <v>1320110430</v>
      </c>
      <c r="D238" s="86" t="s">
        <v>75</v>
      </c>
      <c r="E238" s="85" t="s">
        <v>110</v>
      </c>
      <c r="F238" s="28">
        <f>F239</f>
        <v>1162</v>
      </c>
      <c r="G238" s="28">
        <f t="shared" si="84"/>
        <v>0</v>
      </c>
      <c r="H238" s="28">
        <f t="shared" si="84"/>
        <v>0</v>
      </c>
    </row>
    <row r="239" spans="1:8" ht="36" customHeight="1">
      <c r="A239" s="84" t="s">
        <v>24</v>
      </c>
      <c r="B239" s="84" t="s">
        <v>55</v>
      </c>
      <c r="C239" s="84">
        <v>1320110430</v>
      </c>
      <c r="D239" s="84">
        <v>240</v>
      </c>
      <c r="E239" s="199" t="s">
        <v>469</v>
      </c>
      <c r="F239" s="28">
        <v>1162</v>
      </c>
      <c r="G239" s="28">
        <v>0</v>
      </c>
      <c r="H239" s="28">
        <v>0</v>
      </c>
    </row>
    <row r="240" spans="1:8" ht="16.5" customHeight="1">
      <c r="A240" s="96" t="s">
        <v>24</v>
      </c>
      <c r="B240" s="96" t="s">
        <v>55</v>
      </c>
      <c r="C240" s="96">
        <v>1320120100</v>
      </c>
      <c r="D240" s="96"/>
      <c r="E240" s="97" t="s">
        <v>373</v>
      </c>
      <c r="F240" s="28">
        <f>F241</f>
        <v>53.400000000000006</v>
      </c>
      <c r="G240" s="28">
        <f aca="true" t="shared" si="85" ref="G240:H241">G241</f>
        <v>0</v>
      </c>
      <c r="H240" s="28">
        <f t="shared" si="85"/>
        <v>0</v>
      </c>
    </row>
    <row r="241" spans="1:8" ht="31.5" customHeight="1">
      <c r="A241" s="96" t="s">
        <v>24</v>
      </c>
      <c r="B241" s="96" t="s">
        <v>55</v>
      </c>
      <c r="C241" s="96">
        <v>1320120100</v>
      </c>
      <c r="D241" s="98" t="s">
        <v>75</v>
      </c>
      <c r="E241" s="97" t="s">
        <v>110</v>
      </c>
      <c r="F241" s="28">
        <f>F242</f>
        <v>53.400000000000006</v>
      </c>
      <c r="G241" s="28">
        <f t="shared" si="85"/>
        <v>0</v>
      </c>
      <c r="H241" s="28">
        <f t="shared" si="85"/>
        <v>0</v>
      </c>
    </row>
    <row r="242" spans="1:8" ht="33" customHeight="1">
      <c r="A242" s="96" t="s">
        <v>24</v>
      </c>
      <c r="B242" s="96" t="s">
        <v>55</v>
      </c>
      <c r="C242" s="96">
        <v>1320120100</v>
      </c>
      <c r="D242" s="96">
        <v>240</v>
      </c>
      <c r="E242" s="199" t="s">
        <v>469</v>
      </c>
      <c r="F242" s="28">
        <f>62.2-8.8</f>
        <v>53.400000000000006</v>
      </c>
      <c r="G242" s="28">
        <v>0</v>
      </c>
      <c r="H242" s="28">
        <v>0</v>
      </c>
    </row>
    <row r="243" spans="1:8" ht="31.5">
      <c r="A243" s="55" t="s">
        <v>24</v>
      </c>
      <c r="B243" s="55" t="s">
        <v>55</v>
      </c>
      <c r="C243" s="96" t="s">
        <v>162</v>
      </c>
      <c r="D243" s="55"/>
      <c r="E243" s="52" t="s">
        <v>325</v>
      </c>
      <c r="F243" s="28">
        <f>F244</f>
        <v>1575.3</v>
      </c>
      <c r="G243" s="28">
        <f aca="true" t="shared" si="86" ref="G243:H244">G244</f>
        <v>0</v>
      </c>
      <c r="H243" s="28">
        <f t="shared" si="86"/>
        <v>0</v>
      </c>
    </row>
    <row r="244" spans="1:8" ht="31.5">
      <c r="A244" s="55" t="s">
        <v>24</v>
      </c>
      <c r="B244" s="55" t="s">
        <v>55</v>
      </c>
      <c r="C244" s="55" t="s">
        <v>162</v>
      </c>
      <c r="D244" s="57" t="s">
        <v>75</v>
      </c>
      <c r="E244" s="56" t="s">
        <v>110</v>
      </c>
      <c r="F244" s="28">
        <f>F245</f>
        <v>1575.3</v>
      </c>
      <c r="G244" s="28">
        <f t="shared" si="86"/>
        <v>0</v>
      </c>
      <c r="H244" s="28">
        <f t="shared" si="86"/>
        <v>0</v>
      </c>
    </row>
    <row r="245" spans="1:8" ht="33" customHeight="1">
      <c r="A245" s="55" t="s">
        <v>24</v>
      </c>
      <c r="B245" s="55" t="s">
        <v>55</v>
      </c>
      <c r="C245" s="55" t="s">
        <v>162</v>
      </c>
      <c r="D245" s="55">
        <v>240</v>
      </c>
      <c r="E245" s="199" t="s">
        <v>469</v>
      </c>
      <c r="F245" s="28">
        <f>974.2+341+450+40-62.2-167.7</f>
        <v>1575.3</v>
      </c>
      <c r="G245" s="28">
        <v>0</v>
      </c>
      <c r="H245" s="28">
        <v>0</v>
      </c>
    </row>
    <row r="246" spans="1:8" ht="12.75">
      <c r="A246" s="55" t="s">
        <v>24</v>
      </c>
      <c r="B246" s="55" t="s">
        <v>55</v>
      </c>
      <c r="C246" s="57">
        <v>1320200000</v>
      </c>
      <c r="D246" s="55"/>
      <c r="E246" s="56" t="s">
        <v>163</v>
      </c>
      <c r="F246" s="28">
        <f>F247+F250+F253+F256+F262+F259</f>
        <v>16181.699999999999</v>
      </c>
      <c r="G246" s="28">
        <f aca="true" t="shared" si="87" ref="G246:H246">G247+G250+G253+G256+G262+G259</f>
        <v>14349.3</v>
      </c>
      <c r="H246" s="28">
        <f t="shared" si="87"/>
        <v>14349.3</v>
      </c>
    </row>
    <row r="247" spans="1:8" ht="12.75">
      <c r="A247" s="55" t="s">
        <v>24</v>
      </c>
      <c r="B247" s="55" t="s">
        <v>55</v>
      </c>
      <c r="C247" s="55">
        <v>1320220050</v>
      </c>
      <c r="D247" s="55"/>
      <c r="E247" s="56" t="s">
        <v>164</v>
      </c>
      <c r="F247" s="28">
        <f>F248</f>
        <v>13686.9</v>
      </c>
      <c r="G247" s="28">
        <f aca="true" t="shared" si="88" ref="G247:H248">G248</f>
        <v>11250</v>
      </c>
      <c r="H247" s="28">
        <f t="shared" si="88"/>
        <v>11250</v>
      </c>
    </row>
    <row r="248" spans="1:8" ht="31.5">
      <c r="A248" s="55" t="s">
        <v>24</v>
      </c>
      <c r="B248" s="55" t="s">
        <v>55</v>
      </c>
      <c r="C248" s="55">
        <v>1320220050</v>
      </c>
      <c r="D248" s="57" t="s">
        <v>75</v>
      </c>
      <c r="E248" s="56" t="s">
        <v>110</v>
      </c>
      <c r="F248" s="28">
        <f>F249</f>
        <v>13686.9</v>
      </c>
      <c r="G248" s="28">
        <f t="shared" si="88"/>
        <v>11250</v>
      </c>
      <c r="H248" s="28">
        <f t="shared" si="88"/>
        <v>11250</v>
      </c>
    </row>
    <row r="249" spans="1:8" ht="31.15" customHeight="1">
      <c r="A249" s="55" t="s">
        <v>24</v>
      </c>
      <c r="B249" s="55" t="s">
        <v>55</v>
      </c>
      <c r="C249" s="55">
        <v>1320220050</v>
      </c>
      <c r="D249" s="55">
        <v>240</v>
      </c>
      <c r="E249" s="199" t="s">
        <v>469</v>
      </c>
      <c r="F249" s="28">
        <f>11166+2520.9</f>
        <v>13686.9</v>
      </c>
      <c r="G249" s="28">
        <v>11250</v>
      </c>
      <c r="H249" s="28">
        <v>11250</v>
      </c>
    </row>
    <row r="250" spans="1:8" ht="12.75">
      <c r="A250" s="55" t="s">
        <v>24</v>
      </c>
      <c r="B250" s="55" t="s">
        <v>55</v>
      </c>
      <c r="C250" s="55">
        <v>1320220060</v>
      </c>
      <c r="D250" s="55"/>
      <c r="E250" s="56" t="s">
        <v>165</v>
      </c>
      <c r="F250" s="28">
        <f>F251</f>
        <v>193</v>
      </c>
      <c r="G250" s="28">
        <f aca="true" t="shared" si="89" ref="G250:H251">G251</f>
        <v>900</v>
      </c>
      <c r="H250" s="28">
        <f t="shared" si="89"/>
        <v>900</v>
      </c>
    </row>
    <row r="251" spans="1:8" ht="31.5">
      <c r="A251" s="55" t="s">
        <v>24</v>
      </c>
      <c r="B251" s="55" t="s">
        <v>55</v>
      </c>
      <c r="C251" s="55">
        <v>1320220060</v>
      </c>
      <c r="D251" s="57" t="s">
        <v>75</v>
      </c>
      <c r="E251" s="56" t="s">
        <v>110</v>
      </c>
      <c r="F251" s="28">
        <f>F252</f>
        <v>193</v>
      </c>
      <c r="G251" s="28">
        <f t="shared" si="89"/>
        <v>900</v>
      </c>
      <c r="H251" s="28">
        <f t="shared" si="89"/>
        <v>900</v>
      </c>
    </row>
    <row r="252" spans="1:8" ht="32.45" customHeight="1">
      <c r="A252" s="55" t="s">
        <v>24</v>
      </c>
      <c r="B252" s="55" t="s">
        <v>55</v>
      </c>
      <c r="C252" s="55">
        <v>1320220060</v>
      </c>
      <c r="D252" s="55">
        <v>240</v>
      </c>
      <c r="E252" s="199" t="s">
        <v>469</v>
      </c>
      <c r="F252" s="28">
        <f>276-83</f>
        <v>193</v>
      </c>
      <c r="G252" s="28">
        <v>900</v>
      </c>
      <c r="H252" s="28">
        <v>900</v>
      </c>
    </row>
    <row r="253" spans="1:8" ht="12.75">
      <c r="A253" s="55" t="s">
        <v>24</v>
      </c>
      <c r="B253" s="55" t="s">
        <v>55</v>
      </c>
      <c r="C253" s="55">
        <v>1320220070</v>
      </c>
      <c r="D253" s="55"/>
      <c r="E253" s="56" t="s">
        <v>166</v>
      </c>
      <c r="F253" s="28">
        <f>F254</f>
        <v>2113.9</v>
      </c>
      <c r="G253" s="28">
        <f aca="true" t="shared" si="90" ref="G253:H254">G254</f>
        <v>1795.4</v>
      </c>
      <c r="H253" s="28">
        <f t="shared" si="90"/>
        <v>1795.4</v>
      </c>
    </row>
    <row r="254" spans="1:8" ht="31.5">
      <c r="A254" s="55" t="s">
        <v>24</v>
      </c>
      <c r="B254" s="55" t="s">
        <v>55</v>
      </c>
      <c r="C254" s="55">
        <v>1320220070</v>
      </c>
      <c r="D254" s="57" t="s">
        <v>75</v>
      </c>
      <c r="E254" s="56" t="s">
        <v>110</v>
      </c>
      <c r="F254" s="28">
        <f>F255</f>
        <v>2113.9</v>
      </c>
      <c r="G254" s="28">
        <f t="shared" si="90"/>
        <v>1795.4</v>
      </c>
      <c r="H254" s="28">
        <f t="shared" si="90"/>
        <v>1795.4</v>
      </c>
    </row>
    <row r="255" spans="1:8" ht="34.9" customHeight="1">
      <c r="A255" s="55" t="s">
        <v>24</v>
      </c>
      <c r="B255" s="55" t="s">
        <v>55</v>
      </c>
      <c r="C255" s="55">
        <v>1320220070</v>
      </c>
      <c r="D255" s="55">
        <v>240</v>
      </c>
      <c r="E255" s="199" t="s">
        <v>469</v>
      </c>
      <c r="F255" s="28">
        <f>1625.1+497-8.2</f>
        <v>2113.9</v>
      </c>
      <c r="G255" s="28">
        <v>1795.4</v>
      </c>
      <c r="H255" s="28">
        <v>1795.4</v>
      </c>
    </row>
    <row r="256" spans="1:8" ht="12.75">
      <c r="A256" s="55" t="s">
        <v>24</v>
      </c>
      <c r="B256" s="55" t="s">
        <v>55</v>
      </c>
      <c r="C256" s="55">
        <v>1320220080</v>
      </c>
      <c r="D256" s="55"/>
      <c r="E256" s="56" t="s">
        <v>167</v>
      </c>
      <c r="F256" s="28">
        <f>F257</f>
        <v>145.9</v>
      </c>
      <c r="G256" s="28">
        <f aca="true" t="shared" si="91" ref="G256:H257">G257</f>
        <v>145.9</v>
      </c>
      <c r="H256" s="28">
        <f t="shared" si="91"/>
        <v>145.9</v>
      </c>
    </row>
    <row r="257" spans="1:8" ht="31.5">
      <c r="A257" s="55" t="s">
        <v>24</v>
      </c>
      <c r="B257" s="55" t="s">
        <v>55</v>
      </c>
      <c r="C257" s="55">
        <v>1320220080</v>
      </c>
      <c r="D257" s="57" t="s">
        <v>75</v>
      </c>
      <c r="E257" s="56" t="s">
        <v>110</v>
      </c>
      <c r="F257" s="28">
        <f>F258</f>
        <v>145.9</v>
      </c>
      <c r="G257" s="28">
        <f t="shared" si="91"/>
        <v>145.9</v>
      </c>
      <c r="H257" s="28">
        <f t="shared" si="91"/>
        <v>145.9</v>
      </c>
    </row>
    <row r="258" spans="1:8" ht="31.15" customHeight="1">
      <c r="A258" s="55" t="s">
        <v>24</v>
      </c>
      <c r="B258" s="55" t="s">
        <v>55</v>
      </c>
      <c r="C258" s="55">
        <v>1320220080</v>
      </c>
      <c r="D258" s="55">
        <v>240</v>
      </c>
      <c r="E258" s="199" t="s">
        <v>469</v>
      </c>
      <c r="F258" s="28">
        <v>145.9</v>
      </c>
      <c r="G258" s="28">
        <v>145.9</v>
      </c>
      <c r="H258" s="28">
        <v>145.9</v>
      </c>
    </row>
    <row r="259" spans="1:8" ht="31.15" customHeight="1">
      <c r="A259" s="164" t="s">
        <v>24</v>
      </c>
      <c r="B259" s="164" t="s">
        <v>55</v>
      </c>
      <c r="C259" s="164">
        <v>1320220090</v>
      </c>
      <c r="D259" s="170"/>
      <c r="E259" s="171" t="s">
        <v>442</v>
      </c>
      <c r="F259" s="28">
        <f>F260</f>
        <v>42</v>
      </c>
      <c r="G259" s="28">
        <f aca="true" t="shared" si="92" ref="G259:H260">G260</f>
        <v>0</v>
      </c>
      <c r="H259" s="28">
        <f t="shared" si="92"/>
        <v>0</v>
      </c>
    </row>
    <row r="260" spans="1:8" ht="31.15" customHeight="1">
      <c r="A260" s="164" t="s">
        <v>24</v>
      </c>
      <c r="B260" s="164" t="s">
        <v>55</v>
      </c>
      <c r="C260" s="164">
        <v>1320220090</v>
      </c>
      <c r="D260" s="166" t="s">
        <v>75</v>
      </c>
      <c r="E260" s="165" t="s">
        <v>110</v>
      </c>
      <c r="F260" s="28">
        <f>F261</f>
        <v>42</v>
      </c>
      <c r="G260" s="28">
        <f t="shared" si="92"/>
        <v>0</v>
      </c>
      <c r="H260" s="28">
        <f t="shared" si="92"/>
        <v>0</v>
      </c>
    </row>
    <row r="261" spans="1:8" ht="31.15" customHeight="1">
      <c r="A261" s="164" t="s">
        <v>24</v>
      </c>
      <c r="B261" s="164" t="s">
        <v>55</v>
      </c>
      <c r="C261" s="164">
        <v>1320220090</v>
      </c>
      <c r="D261" s="164">
        <v>240</v>
      </c>
      <c r="E261" s="199" t="s">
        <v>469</v>
      </c>
      <c r="F261" s="28">
        <v>42</v>
      </c>
      <c r="G261" s="28">
        <v>0</v>
      </c>
      <c r="H261" s="28">
        <v>0</v>
      </c>
    </row>
    <row r="262" spans="1:8" ht="20.25" customHeight="1">
      <c r="A262" s="55" t="s">
        <v>24</v>
      </c>
      <c r="B262" s="55" t="s">
        <v>55</v>
      </c>
      <c r="C262" s="55" t="s">
        <v>169</v>
      </c>
      <c r="D262" s="55"/>
      <c r="E262" s="56" t="s">
        <v>168</v>
      </c>
      <c r="F262" s="28">
        <f>F263</f>
        <v>0</v>
      </c>
      <c r="G262" s="28">
        <f aca="true" t="shared" si="93" ref="G262:H263">G263</f>
        <v>258</v>
      </c>
      <c r="H262" s="28">
        <f t="shared" si="93"/>
        <v>258</v>
      </c>
    </row>
    <row r="263" spans="1:8" ht="31.5">
      <c r="A263" s="55" t="s">
        <v>24</v>
      </c>
      <c r="B263" s="55" t="s">
        <v>55</v>
      </c>
      <c r="C263" s="55" t="s">
        <v>169</v>
      </c>
      <c r="D263" s="57" t="s">
        <v>75</v>
      </c>
      <c r="E263" s="56" t="s">
        <v>110</v>
      </c>
      <c r="F263" s="28">
        <f>F264</f>
        <v>0</v>
      </c>
      <c r="G263" s="28">
        <f t="shared" si="93"/>
        <v>258</v>
      </c>
      <c r="H263" s="28">
        <f t="shared" si="93"/>
        <v>258</v>
      </c>
    </row>
    <row r="264" spans="1:8" ht="29.45" customHeight="1">
      <c r="A264" s="55" t="s">
        <v>24</v>
      </c>
      <c r="B264" s="55" t="s">
        <v>55</v>
      </c>
      <c r="C264" s="55" t="s">
        <v>169</v>
      </c>
      <c r="D264" s="55">
        <v>240</v>
      </c>
      <c r="E264" s="199" t="s">
        <v>469</v>
      </c>
      <c r="F264" s="28">
        <f>258-258</f>
        <v>0</v>
      </c>
      <c r="G264" s="28">
        <v>258</v>
      </c>
      <c r="H264" s="28">
        <v>258</v>
      </c>
    </row>
    <row r="265" spans="1:8" ht="17.45" customHeight="1">
      <c r="A265" s="55" t="s">
        <v>24</v>
      </c>
      <c r="B265" s="55" t="s">
        <v>55</v>
      </c>
      <c r="C265" s="57">
        <v>1330000000</v>
      </c>
      <c r="D265" s="55"/>
      <c r="E265" s="56" t="s">
        <v>152</v>
      </c>
      <c r="F265" s="28">
        <f>F266</f>
        <v>265.8</v>
      </c>
      <c r="G265" s="28">
        <f aca="true" t="shared" si="94" ref="G265:H268">G266</f>
        <v>304</v>
      </c>
      <c r="H265" s="28">
        <f t="shared" si="94"/>
        <v>304</v>
      </c>
    </row>
    <row r="266" spans="1:8" ht="47.25">
      <c r="A266" s="55" t="s">
        <v>24</v>
      </c>
      <c r="B266" s="55" t="s">
        <v>55</v>
      </c>
      <c r="C266" s="57">
        <v>1330200000</v>
      </c>
      <c r="D266" s="55"/>
      <c r="E266" s="56" t="s">
        <v>300</v>
      </c>
      <c r="F266" s="28">
        <f>F267</f>
        <v>265.8</v>
      </c>
      <c r="G266" s="28">
        <f t="shared" si="94"/>
        <v>304</v>
      </c>
      <c r="H266" s="28">
        <f t="shared" si="94"/>
        <v>304</v>
      </c>
    </row>
    <row r="267" spans="1:8" ht="12.75">
      <c r="A267" s="55" t="s">
        <v>24</v>
      </c>
      <c r="B267" s="55" t="s">
        <v>55</v>
      </c>
      <c r="C267" s="57">
        <v>1330220090</v>
      </c>
      <c r="D267" s="55"/>
      <c r="E267" s="56" t="s">
        <v>170</v>
      </c>
      <c r="F267" s="28">
        <f>F268</f>
        <v>265.8</v>
      </c>
      <c r="G267" s="28">
        <f t="shared" si="94"/>
        <v>304</v>
      </c>
      <c r="H267" s="28">
        <f t="shared" si="94"/>
        <v>304</v>
      </c>
    </row>
    <row r="268" spans="1:8" ht="31.5">
      <c r="A268" s="55" t="s">
        <v>24</v>
      </c>
      <c r="B268" s="55" t="s">
        <v>55</v>
      </c>
      <c r="C268" s="57">
        <v>1330220090</v>
      </c>
      <c r="D268" s="57" t="s">
        <v>75</v>
      </c>
      <c r="E268" s="56" t="s">
        <v>110</v>
      </c>
      <c r="F268" s="28">
        <f>F269</f>
        <v>265.8</v>
      </c>
      <c r="G268" s="28">
        <f t="shared" si="94"/>
        <v>304</v>
      </c>
      <c r="H268" s="28">
        <f t="shared" si="94"/>
        <v>304</v>
      </c>
    </row>
    <row r="269" spans="1:8" ht="31.15" customHeight="1">
      <c r="A269" s="55" t="s">
        <v>24</v>
      </c>
      <c r="B269" s="55" t="s">
        <v>55</v>
      </c>
      <c r="C269" s="57">
        <v>1330220090</v>
      </c>
      <c r="D269" s="55">
        <v>240</v>
      </c>
      <c r="E269" s="199" t="s">
        <v>469</v>
      </c>
      <c r="F269" s="28">
        <v>265.8</v>
      </c>
      <c r="G269" s="28">
        <v>304</v>
      </c>
      <c r="H269" s="28">
        <v>304</v>
      </c>
    </row>
    <row r="270" spans="1:8" ht="12.75">
      <c r="A270" s="55" t="s">
        <v>24</v>
      </c>
      <c r="B270" s="55" t="s">
        <v>42</v>
      </c>
      <c r="C270" s="55" t="s">
        <v>72</v>
      </c>
      <c r="D270" s="55" t="s">
        <v>72</v>
      </c>
      <c r="E270" s="56" t="s">
        <v>34</v>
      </c>
      <c r="F270" s="28">
        <f>F271+F309+F302</f>
        <v>29995.399999999998</v>
      </c>
      <c r="G270" s="28">
        <f>G271+G309+G302</f>
        <v>28680.399999999998</v>
      </c>
      <c r="H270" s="28">
        <f>H271+H309+H302</f>
        <v>28680.399999999998</v>
      </c>
    </row>
    <row r="271" spans="1:8" ht="12.75">
      <c r="A271" s="10" t="s">
        <v>24</v>
      </c>
      <c r="B271" s="10" t="s">
        <v>102</v>
      </c>
      <c r="C271" s="11"/>
      <c r="D271" s="11"/>
      <c r="E271" s="56" t="s">
        <v>103</v>
      </c>
      <c r="F271" s="28">
        <f>F272+F297</f>
        <v>29248.6</v>
      </c>
      <c r="G271" s="28">
        <f aca="true" t="shared" si="95" ref="G271:H271">G272+G297</f>
        <v>28153.3</v>
      </c>
      <c r="H271" s="28">
        <f t="shared" si="95"/>
        <v>28153.3</v>
      </c>
    </row>
    <row r="272" spans="1:8" ht="33.75" customHeight="1">
      <c r="A272" s="10" t="s">
        <v>24</v>
      </c>
      <c r="B272" s="55" t="s">
        <v>102</v>
      </c>
      <c r="C272" s="57">
        <v>1100000000</v>
      </c>
      <c r="D272" s="55"/>
      <c r="E272" s="56" t="s">
        <v>247</v>
      </c>
      <c r="F272" s="28">
        <f aca="true" t="shared" si="96" ref="F272:H282">F273</f>
        <v>28818.6</v>
      </c>
      <c r="G272" s="28">
        <f t="shared" si="96"/>
        <v>28153.3</v>
      </c>
      <c r="H272" s="28">
        <f t="shared" si="96"/>
        <v>28153.3</v>
      </c>
    </row>
    <row r="273" spans="1:8" ht="12.75">
      <c r="A273" s="10" t="s">
        <v>24</v>
      </c>
      <c r="B273" s="55" t="s">
        <v>102</v>
      </c>
      <c r="C273" s="57">
        <v>1120000000</v>
      </c>
      <c r="D273" s="55"/>
      <c r="E273" s="56" t="s">
        <v>149</v>
      </c>
      <c r="F273" s="28">
        <f>F274+F290</f>
        <v>28818.6</v>
      </c>
      <c r="G273" s="28">
        <f aca="true" t="shared" si="97" ref="G273:H273">G274+G290</f>
        <v>28153.3</v>
      </c>
      <c r="H273" s="28">
        <f t="shared" si="97"/>
        <v>28153.3</v>
      </c>
    </row>
    <row r="274" spans="1:8" ht="47.25">
      <c r="A274" s="10" t="s">
        <v>24</v>
      </c>
      <c r="B274" s="55" t="s">
        <v>102</v>
      </c>
      <c r="C274" s="57">
        <v>1120100000</v>
      </c>
      <c r="D274" s="55"/>
      <c r="E274" s="56" t="s">
        <v>150</v>
      </c>
      <c r="F274" s="28">
        <f>F281+F278+F287+F275+F284</f>
        <v>28001</v>
      </c>
      <c r="G274" s="28">
        <f aca="true" t="shared" si="98" ref="G274:H274">G281+G278+G287+G275+G284</f>
        <v>28153.3</v>
      </c>
      <c r="H274" s="28">
        <f t="shared" si="98"/>
        <v>28153.3</v>
      </c>
    </row>
    <row r="275" spans="1:8" ht="50.25" customHeight="1">
      <c r="A275" s="10" t="s">
        <v>24</v>
      </c>
      <c r="B275" s="84" t="s">
        <v>102</v>
      </c>
      <c r="C275" s="11" t="s">
        <v>367</v>
      </c>
      <c r="D275" s="13"/>
      <c r="E275" s="9" t="s">
        <v>366</v>
      </c>
      <c r="F275" s="28">
        <f>F276</f>
        <v>575.7</v>
      </c>
      <c r="G275" s="28">
        <f aca="true" t="shared" si="99" ref="G275:H276">G276</f>
        <v>0</v>
      </c>
      <c r="H275" s="28">
        <f t="shared" si="99"/>
        <v>0</v>
      </c>
    </row>
    <row r="276" spans="1:8" ht="31.5">
      <c r="A276" s="10" t="s">
        <v>24</v>
      </c>
      <c r="B276" s="84" t="s">
        <v>102</v>
      </c>
      <c r="C276" s="11" t="s">
        <v>367</v>
      </c>
      <c r="D276" s="86" t="s">
        <v>112</v>
      </c>
      <c r="E276" s="85" t="s">
        <v>113</v>
      </c>
      <c r="F276" s="28">
        <f>F277</f>
        <v>575.7</v>
      </c>
      <c r="G276" s="28">
        <f t="shared" si="99"/>
        <v>0</v>
      </c>
      <c r="H276" s="28">
        <f t="shared" si="99"/>
        <v>0</v>
      </c>
    </row>
    <row r="277" spans="1:8" ht="12.75">
      <c r="A277" s="10" t="s">
        <v>24</v>
      </c>
      <c r="B277" s="84" t="s">
        <v>102</v>
      </c>
      <c r="C277" s="11" t="s">
        <v>367</v>
      </c>
      <c r="D277" s="84">
        <v>610</v>
      </c>
      <c r="E277" s="85" t="s">
        <v>130</v>
      </c>
      <c r="F277" s="28">
        <f>162.5+371.5+41.7</f>
        <v>575.7</v>
      </c>
      <c r="G277" s="28">
        <v>0</v>
      </c>
      <c r="H277" s="28">
        <v>0</v>
      </c>
    </row>
    <row r="278" spans="1:8" ht="47.25">
      <c r="A278" s="55" t="s">
        <v>24</v>
      </c>
      <c r="B278" s="55" t="s">
        <v>102</v>
      </c>
      <c r="C278" s="55">
        <v>1120110690</v>
      </c>
      <c r="D278" s="55"/>
      <c r="E278" s="56" t="s">
        <v>317</v>
      </c>
      <c r="F278" s="28">
        <f>F279</f>
        <v>3370.2</v>
      </c>
      <c r="G278" s="28">
        <f aca="true" t="shared" si="100" ref="G278:G279">G279</f>
        <v>0</v>
      </c>
      <c r="H278" s="28">
        <f aca="true" t="shared" si="101" ref="H278:H279">H279</f>
        <v>0</v>
      </c>
    </row>
    <row r="279" spans="1:8" ht="31.5">
      <c r="A279" s="10" t="s">
        <v>24</v>
      </c>
      <c r="B279" s="55" t="s">
        <v>102</v>
      </c>
      <c r="C279" s="55">
        <v>1120110690</v>
      </c>
      <c r="D279" s="57" t="s">
        <v>112</v>
      </c>
      <c r="E279" s="56" t="s">
        <v>113</v>
      </c>
      <c r="F279" s="28">
        <f>F280</f>
        <v>3370.2</v>
      </c>
      <c r="G279" s="28">
        <f t="shared" si="100"/>
        <v>0</v>
      </c>
      <c r="H279" s="28">
        <f t="shared" si="101"/>
        <v>0</v>
      </c>
    </row>
    <row r="280" spans="1:8" ht="12.75">
      <c r="A280" s="10" t="s">
        <v>24</v>
      </c>
      <c r="B280" s="55" t="s">
        <v>102</v>
      </c>
      <c r="C280" s="55">
        <v>1120110690</v>
      </c>
      <c r="D280" s="55">
        <v>610</v>
      </c>
      <c r="E280" s="56" t="s">
        <v>130</v>
      </c>
      <c r="F280" s="28">
        <f>1711.7+886+772.5</f>
        <v>3370.2</v>
      </c>
      <c r="G280" s="28">
        <v>0</v>
      </c>
      <c r="H280" s="28">
        <v>0</v>
      </c>
    </row>
    <row r="281" spans="1:8" ht="31.5">
      <c r="A281" s="10" t="s">
        <v>24</v>
      </c>
      <c r="B281" s="55" t="s">
        <v>102</v>
      </c>
      <c r="C281" s="57">
        <v>1120120010</v>
      </c>
      <c r="D281" s="55"/>
      <c r="E281" s="56" t="s">
        <v>151</v>
      </c>
      <c r="F281" s="28">
        <f t="shared" si="96"/>
        <v>23766.1</v>
      </c>
      <c r="G281" s="28">
        <f t="shared" si="96"/>
        <v>28153.3</v>
      </c>
      <c r="H281" s="28">
        <f t="shared" si="96"/>
        <v>28153.3</v>
      </c>
    </row>
    <row r="282" spans="1:8" ht="31.5">
      <c r="A282" s="10" t="s">
        <v>24</v>
      </c>
      <c r="B282" s="55" t="s">
        <v>102</v>
      </c>
      <c r="C282" s="57">
        <v>1120120010</v>
      </c>
      <c r="D282" s="57" t="s">
        <v>112</v>
      </c>
      <c r="E282" s="56" t="s">
        <v>113</v>
      </c>
      <c r="F282" s="28">
        <f t="shared" si="96"/>
        <v>23766.1</v>
      </c>
      <c r="G282" s="28">
        <f t="shared" si="96"/>
        <v>28153.3</v>
      </c>
      <c r="H282" s="28">
        <f t="shared" si="96"/>
        <v>28153.3</v>
      </c>
    </row>
    <row r="283" spans="1:8" ht="12.75">
      <c r="A283" s="10" t="s">
        <v>24</v>
      </c>
      <c r="B283" s="55" t="s">
        <v>102</v>
      </c>
      <c r="C283" s="57">
        <v>1120120010</v>
      </c>
      <c r="D283" s="55">
        <v>610</v>
      </c>
      <c r="E283" s="56" t="s">
        <v>130</v>
      </c>
      <c r="F283" s="28">
        <f>15504.4-102.7+132.7+8298.6-16.3-4.2-46.4</f>
        <v>23766.1</v>
      </c>
      <c r="G283" s="28">
        <f>15504.4+12648.9</f>
        <v>28153.3</v>
      </c>
      <c r="H283" s="28">
        <f>15504.4+12648.9</f>
        <v>28153.3</v>
      </c>
    </row>
    <row r="284" spans="1:8" ht="51" customHeight="1">
      <c r="A284" s="10" t="s">
        <v>24</v>
      </c>
      <c r="B284" s="87" t="s">
        <v>102</v>
      </c>
      <c r="C284" s="11" t="s">
        <v>369</v>
      </c>
      <c r="D284" s="13"/>
      <c r="E284" s="9" t="s">
        <v>371</v>
      </c>
      <c r="F284" s="28">
        <f>F285</f>
        <v>57.7</v>
      </c>
      <c r="G284" s="28">
        <f aca="true" t="shared" si="102" ref="G284:H285">G285</f>
        <v>0</v>
      </c>
      <c r="H284" s="28">
        <f t="shared" si="102"/>
        <v>0</v>
      </c>
    </row>
    <row r="285" spans="1:8" ht="31.5">
      <c r="A285" s="10" t="s">
        <v>24</v>
      </c>
      <c r="B285" s="87" t="s">
        <v>102</v>
      </c>
      <c r="C285" s="11" t="s">
        <v>369</v>
      </c>
      <c r="D285" s="89" t="s">
        <v>112</v>
      </c>
      <c r="E285" s="88" t="s">
        <v>113</v>
      </c>
      <c r="F285" s="28">
        <f>F286</f>
        <v>57.7</v>
      </c>
      <c r="G285" s="28">
        <f t="shared" si="102"/>
        <v>0</v>
      </c>
      <c r="H285" s="28">
        <f t="shared" si="102"/>
        <v>0</v>
      </c>
    </row>
    <row r="286" spans="1:8" ht="12.75">
      <c r="A286" s="10" t="s">
        <v>24</v>
      </c>
      <c r="B286" s="87" t="s">
        <v>102</v>
      </c>
      <c r="C286" s="11" t="s">
        <v>369</v>
      </c>
      <c r="D286" s="87">
        <v>610</v>
      </c>
      <c r="E286" s="88" t="s">
        <v>130</v>
      </c>
      <c r="F286" s="28">
        <f>37.2+16.3+4.2</f>
        <v>57.7</v>
      </c>
      <c r="G286" s="28">
        <v>0</v>
      </c>
      <c r="H286" s="28">
        <v>0</v>
      </c>
    </row>
    <row r="287" spans="1:8" ht="47.25">
      <c r="A287" s="10" t="s">
        <v>24</v>
      </c>
      <c r="B287" s="55" t="s">
        <v>102</v>
      </c>
      <c r="C287" s="55" t="s">
        <v>316</v>
      </c>
      <c r="D287" s="55"/>
      <c r="E287" s="88" t="s">
        <v>318</v>
      </c>
      <c r="F287" s="28">
        <f>F288</f>
        <v>231.3</v>
      </c>
      <c r="G287" s="28">
        <f aca="true" t="shared" si="103" ref="G287:G288">G288</f>
        <v>0</v>
      </c>
      <c r="H287" s="28">
        <f aca="true" t="shared" si="104" ref="H287:H288">H288</f>
        <v>0</v>
      </c>
    </row>
    <row r="288" spans="1:8" ht="31.5">
      <c r="A288" s="10" t="s">
        <v>24</v>
      </c>
      <c r="B288" s="55" t="s">
        <v>102</v>
      </c>
      <c r="C288" s="55" t="s">
        <v>316</v>
      </c>
      <c r="D288" s="57" t="s">
        <v>112</v>
      </c>
      <c r="E288" s="56" t="s">
        <v>113</v>
      </c>
      <c r="F288" s="28">
        <f>F289</f>
        <v>231.3</v>
      </c>
      <c r="G288" s="28">
        <f t="shared" si="103"/>
        <v>0</v>
      </c>
      <c r="H288" s="28">
        <f t="shared" si="104"/>
        <v>0</v>
      </c>
    </row>
    <row r="289" spans="1:8" ht="12.75">
      <c r="A289" s="10" t="s">
        <v>24</v>
      </c>
      <c r="B289" s="55" t="s">
        <v>102</v>
      </c>
      <c r="C289" s="55" t="s">
        <v>316</v>
      </c>
      <c r="D289" s="55">
        <v>610</v>
      </c>
      <c r="E289" s="56" t="s">
        <v>130</v>
      </c>
      <c r="F289" s="28">
        <f>102.7+82.2+46.4</f>
        <v>231.3</v>
      </c>
      <c r="G289" s="28">
        <v>0</v>
      </c>
      <c r="H289" s="28">
        <v>0</v>
      </c>
    </row>
    <row r="290" spans="1:8" ht="47.25">
      <c r="A290" s="10" t="s">
        <v>24</v>
      </c>
      <c r="B290" s="68" t="s">
        <v>102</v>
      </c>
      <c r="C290" s="68">
        <v>1120200000</v>
      </c>
      <c r="D290" s="68"/>
      <c r="E290" s="69" t="s">
        <v>291</v>
      </c>
      <c r="F290" s="28">
        <f>F294+F291</f>
        <v>817.6</v>
      </c>
      <c r="G290" s="28">
        <f aca="true" t="shared" si="105" ref="G290:H290">G294+G291</f>
        <v>0</v>
      </c>
      <c r="H290" s="28">
        <f t="shared" si="105"/>
        <v>0</v>
      </c>
    </row>
    <row r="291" spans="1:8" ht="31.5">
      <c r="A291" s="10" t="s">
        <v>24</v>
      </c>
      <c r="B291" s="84" t="s">
        <v>102</v>
      </c>
      <c r="C291" s="86">
        <v>1120220030</v>
      </c>
      <c r="D291" s="84"/>
      <c r="E291" s="85" t="s">
        <v>292</v>
      </c>
      <c r="F291" s="28">
        <f>F292</f>
        <v>391.6</v>
      </c>
      <c r="G291" s="28">
        <f aca="true" t="shared" si="106" ref="G291:H292">G292</f>
        <v>0</v>
      </c>
      <c r="H291" s="28">
        <f t="shared" si="106"/>
        <v>0</v>
      </c>
    </row>
    <row r="292" spans="1:8" ht="31.5">
      <c r="A292" s="10" t="s">
        <v>24</v>
      </c>
      <c r="B292" s="84" t="s">
        <v>102</v>
      </c>
      <c r="C292" s="86">
        <v>1120220030</v>
      </c>
      <c r="D292" s="86" t="s">
        <v>112</v>
      </c>
      <c r="E292" s="85" t="s">
        <v>113</v>
      </c>
      <c r="F292" s="28">
        <f>F293</f>
        <v>391.6</v>
      </c>
      <c r="G292" s="28">
        <f t="shared" si="106"/>
        <v>0</v>
      </c>
      <c r="H292" s="28">
        <f t="shared" si="106"/>
        <v>0</v>
      </c>
    </row>
    <row r="293" spans="1:8" ht="12.75">
      <c r="A293" s="10" t="s">
        <v>24</v>
      </c>
      <c r="B293" s="84" t="s">
        <v>102</v>
      </c>
      <c r="C293" s="86">
        <v>1120220030</v>
      </c>
      <c r="D293" s="84">
        <v>610</v>
      </c>
      <c r="E293" s="85" t="s">
        <v>130</v>
      </c>
      <c r="F293" s="28">
        <v>391.6</v>
      </c>
      <c r="G293" s="28">
        <v>0</v>
      </c>
      <c r="H293" s="28">
        <v>0</v>
      </c>
    </row>
    <row r="294" spans="1:8" ht="31.5">
      <c r="A294" s="10" t="s">
        <v>24</v>
      </c>
      <c r="B294" s="68" t="s">
        <v>102</v>
      </c>
      <c r="C294" s="68" t="s">
        <v>340</v>
      </c>
      <c r="D294" s="68"/>
      <c r="E294" s="69" t="s">
        <v>341</v>
      </c>
      <c r="F294" s="28">
        <f>F295</f>
        <v>426</v>
      </c>
      <c r="G294" s="28">
        <f aca="true" t="shared" si="107" ref="G294:H295">G295</f>
        <v>0</v>
      </c>
      <c r="H294" s="28">
        <f t="shared" si="107"/>
        <v>0</v>
      </c>
    </row>
    <row r="295" spans="1:8" ht="31.5">
      <c r="A295" s="10" t="s">
        <v>24</v>
      </c>
      <c r="B295" s="68" t="s">
        <v>102</v>
      </c>
      <c r="C295" s="68" t="s">
        <v>340</v>
      </c>
      <c r="D295" s="70" t="s">
        <v>112</v>
      </c>
      <c r="E295" s="69" t="s">
        <v>113</v>
      </c>
      <c r="F295" s="28">
        <f>F296</f>
        <v>426</v>
      </c>
      <c r="G295" s="28">
        <f t="shared" si="107"/>
        <v>0</v>
      </c>
      <c r="H295" s="28">
        <f t="shared" si="107"/>
        <v>0</v>
      </c>
    </row>
    <row r="296" spans="1:8" ht="12.75">
      <c r="A296" s="10" t="s">
        <v>24</v>
      </c>
      <c r="B296" s="68" t="s">
        <v>102</v>
      </c>
      <c r="C296" s="68" t="s">
        <v>340</v>
      </c>
      <c r="D296" s="68">
        <v>610</v>
      </c>
      <c r="E296" s="69" t="s">
        <v>130</v>
      </c>
      <c r="F296" s="28">
        <f>234.3+191.7</f>
        <v>426</v>
      </c>
      <c r="G296" s="28">
        <v>0</v>
      </c>
      <c r="H296" s="28">
        <v>0</v>
      </c>
    </row>
    <row r="297" spans="1:8" ht="12.75">
      <c r="A297" s="10" t="s">
        <v>24</v>
      </c>
      <c r="B297" s="112" t="s">
        <v>102</v>
      </c>
      <c r="C297" s="112">
        <v>9900000000</v>
      </c>
      <c r="D297" s="112"/>
      <c r="E297" s="113" t="s">
        <v>131</v>
      </c>
      <c r="F297" s="28">
        <f>F298</f>
        <v>430</v>
      </c>
      <c r="G297" s="28">
        <f aca="true" t="shared" si="108" ref="G297:H300">G298</f>
        <v>0</v>
      </c>
      <c r="H297" s="28">
        <f t="shared" si="108"/>
        <v>0</v>
      </c>
    </row>
    <row r="298" spans="1:8" ht="47.25">
      <c r="A298" s="10" t="s">
        <v>24</v>
      </c>
      <c r="B298" s="112" t="s">
        <v>102</v>
      </c>
      <c r="C298" s="112">
        <v>9920000000</v>
      </c>
      <c r="D298" s="112"/>
      <c r="E298" s="113" t="s">
        <v>383</v>
      </c>
      <c r="F298" s="28">
        <f>F299</f>
        <v>430</v>
      </c>
      <c r="G298" s="28">
        <f t="shared" si="108"/>
        <v>0</v>
      </c>
      <c r="H298" s="28">
        <f t="shared" si="108"/>
        <v>0</v>
      </c>
    </row>
    <row r="299" spans="1:8" ht="33.75" customHeight="1">
      <c r="A299" s="10" t="s">
        <v>24</v>
      </c>
      <c r="B299" s="112" t="s">
        <v>102</v>
      </c>
      <c r="C299" s="112">
        <v>9920010920</v>
      </c>
      <c r="D299" s="112"/>
      <c r="E299" s="113" t="s">
        <v>384</v>
      </c>
      <c r="F299" s="28">
        <f>F300</f>
        <v>430</v>
      </c>
      <c r="G299" s="28">
        <f t="shared" si="108"/>
        <v>0</v>
      </c>
      <c r="H299" s="28">
        <f t="shared" si="108"/>
        <v>0</v>
      </c>
    </row>
    <row r="300" spans="1:8" ht="31.5">
      <c r="A300" s="10" t="s">
        <v>24</v>
      </c>
      <c r="B300" s="112" t="s">
        <v>102</v>
      </c>
      <c r="C300" s="112">
        <v>9920010920</v>
      </c>
      <c r="D300" s="114" t="s">
        <v>112</v>
      </c>
      <c r="E300" s="113" t="s">
        <v>113</v>
      </c>
      <c r="F300" s="28">
        <f>F301</f>
        <v>430</v>
      </c>
      <c r="G300" s="28">
        <f t="shared" si="108"/>
        <v>0</v>
      </c>
      <c r="H300" s="28">
        <f t="shared" si="108"/>
        <v>0</v>
      </c>
    </row>
    <row r="301" spans="1:8" ht="12.75">
      <c r="A301" s="10" t="s">
        <v>24</v>
      </c>
      <c r="B301" s="112" t="s">
        <v>102</v>
      </c>
      <c r="C301" s="112">
        <v>9920010920</v>
      </c>
      <c r="D301" s="112">
        <v>610</v>
      </c>
      <c r="E301" s="113" t="s">
        <v>130</v>
      </c>
      <c r="F301" s="28">
        <v>430</v>
      </c>
      <c r="G301" s="28">
        <v>0</v>
      </c>
      <c r="H301" s="28">
        <v>0</v>
      </c>
    </row>
    <row r="302" spans="1:8" ht="30" customHeight="1">
      <c r="A302" s="10" t="s">
        <v>24</v>
      </c>
      <c r="B302" s="29" t="s">
        <v>276</v>
      </c>
      <c r="C302" s="57"/>
      <c r="D302" s="55"/>
      <c r="E302" s="56" t="s">
        <v>470</v>
      </c>
      <c r="F302" s="28">
        <f aca="true" t="shared" si="109" ref="F302:H307">F303</f>
        <v>309</v>
      </c>
      <c r="G302" s="28">
        <f t="shared" si="109"/>
        <v>309</v>
      </c>
      <c r="H302" s="28">
        <f t="shared" si="109"/>
        <v>309</v>
      </c>
    </row>
    <row r="303" spans="1:8" ht="47.25">
      <c r="A303" s="10" t="s">
        <v>24</v>
      </c>
      <c r="B303" s="29" t="s">
        <v>276</v>
      </c>
      <c r="C303" s="57">
        <v>1600000000</v>
      </c>
      <c r="D303" s="57"/>
      <c r="E303" s="56" t="s">
        <v>140</v>
      </c>
      <c r="F303" s="28">
        <f t="shared" si="109"/>
        <v>309</v>
      </c>
      <c r="G303" s="28">
        <f t="shared" si="109"/>
        <v>309</v>
      </c>
      <c r="H303" s="28">
        <f t="shared" si="109"/>
        <v>309</v>
      </c>
    </row>
    <row r="304" spans="1:8" ht="47.25">
      <c r="A304" s="10" t="s">
        <v>24</v>
      </c>
      <c r="B304" s="29" t="s">
        <v>276</v>
      </c>
      <c r="C304" s="57">
        <v>1640000000</v>
      </c>
      <c r="D304" s="1"/>
      <c r="E304" s="22" t="s">
        <v>279</v>
      </c>
      <c r="F304" s="28">
        <f t="shared" si="109"/>
        <v>309</v>
      </c>
      <c r="G304" s="28">
        <f t="shared" si="109"/>
        <v>309</v>
      </c>
      <c r="H304" s="28">
        <f t="shared" si="109"/>
        <v>309</v>
      </c>
    </row>
    <row r="305" spans="1:8" ht="31.5">
      <c r="A305" s="10" t="s">
        <v>24</v>
      </c>
      <c r="B305" s="29" t="s">
        <v>276</v>
      </c>
      <c r="C305" s="57">
        <v>1640100000</v>
      </c>
      <c r="D305" s="55"/>
      <c r="E305" s="56" t="s">
        <v>281</v>
      </c>
      <c r="F305" s="28">
        <f t="shared" si="109"/>
        <v>309</v>
      </c>
      <c r="G305" s="28">
        <f t="shared" si="109"/>
        <v>309</v>
      </c>
      <c r="H305" s="28">
        <f t="shared" si="109"/>
        <v>309</v>
      </c>
    </row>
    <row r="306" spans="1:8" ht="12.75">
      <c r="A306" s="10" t="s">
        <v>24</v>
      </c>
      <c r="B306" s="29" t="s">
        <v>276</v>
      </c>
      <c r="C306" s="57">
        <v>1640120510</v>
      </c>
      <c r="D306" s="55"/>
      <c r="E306" s="56" t="s">
        <v>283</v>
      </c>
      <c r="F306" s="28">
        <f t="shared" si="109"/>
        <v>309</v>
      </c>
      <c r="G306" s="28">
        <f t="shared" si="109"/>
        <v>309</v>
      </c>
      <c r="H306" s="28">
        <f t="shared" si="109"/>
        <v>309</v>
      </c>
    </row>
    <row r="307" spans="1:8" ht="31.5">
      <c r="A307" s="10" t="s">
        <v>24</v>
      </c>
      <c r="B307" s="29" t="s">
        <v>276</v>
      </c>
      <c r="C307" s="57">
        <v>1640120510</v>
      </c>
      <c r="D307" s="57" t="s">
        <v>75</v>
      </c>
      <c r="E307" s="56" t="s">
        <v>110</v>
      </c>
      <c r="F307" s="28">
        <f t="shared" si="109"/>
        <v>309</v>
      </c>
      <c r="G307" s="28">
        <f t="shared" si="109"/>
        <v>309</v>
      </c>
      <c r="H307" s="28">
        <f t="shared" si="109"/>
        <v>309</v>
      </c>
    </row>
    <row r="308" spans="1:8" ht="33.6" customHeight="1">
      <c r="A308" s="10" t="s">
        <v>24</v>
      </c>
      <c r="B308" s="29" t="s">
        <v>276</v>
      </c>
      <c r="C308" s="57">
        <v>1640120510</v>
      </c>
      <c r="D308" s="55">
        <v>240</v>
      </c>
      <c r="E308" s="56" t="s">
        <v>469</v>
      </c>
      <c r="F308" s="28">
        <v>309</v>
      </c>
      <c r="G308" s="28">
        <v>309</v>
      </c>
      <c r="H308" s="28">
        <v>309</v>
      </c>
    </row>
    <row r="309" spans="1:8" ht="12.75">
      <c r="A309" s="10" t="s">
        <v>24</v>
      </c>
      <c r="B309" s="55" t="s">
        <v>43</v>
      </c>
      <c r="C309" s="55" t="s">
        <v>72</v>
      </c>
      <c r="D309" s="55" t="s">
        <v>72</v>
      </c>
      <c r="E309" s="56" t="s">
        <v>118</v>
      </c>
      <c r="F309" s="28">
        <f>F325+F310</f>
        <v>437.8</v>
      </c>
      <c r="G309" s="28">
        <f>G325+G310</f>
        <v>218.1</v>
      </c>
      <c r="H309" s="28">
        <f>H325+H310</f>
        <v>218.1</v>
      </c>
    </row>
    <row r="310" spans="1:8" ht="33.75" customHeight="1">
      <c r="A310" s="10" t="s">
        <v>24</v>
      </c>
      <c r="B310" s="55" t="s">
        <v>43</v>
      </c>
      <c r="C310" s="57">
        <v>1100000000</v>
      </c>
      <c r="D310" s="55"/>
      <c r="E310" s="90" t="s">
        <v>247</v>
      </c>
      <c r="F310" s="28">
        <f>F316+F311</f>
        <v>325.5</v>
      </c>
      <c r="G310" s="28">
        <f>G316+G311</f>
        <v>93.69999999999999</v>
      </c>
      <c r="H310" s="28">
        <f>H316+H311</f>
        <v>93.69999999999999</v>
      </c>
    </row>
    <row r="311" spans="1:8" ht="12.75">
      <c r="A311" s="10" t="s">
        <v>24</v>
      </c>
      <c r="B311" s="84" t="s">
        <v>43</v>
      </c>
      <c r="C311" s="84">
        <v>1110000000</v>
      </c>
      <c r="D311" s="84"/>
      <c r="E311" s="85" t="s">
        <v>225</v>
      </c>
      <c r="F311" s="28">
        <f>F312</f>
        <v>236.1</v>
      </c>
      <c r="G311" s="28">
        <f aca="true" t="shared" si="110" ref="G311:H314">G312</f>
        <v>0</v>
      </c>
      <c r="H311" s="28">
        <f t="shared" si="110"/>
        <v>0</v>
      </c>
    </row>
    <row r="312" spans="1:8" ht="12.75">
      <c r="A312" s="10" t="s">
        <v>24</v>
      </c>
      <c r="B312" s="84" t="s">
        <v>43</v>
      </c>
      <c r="C312" s="84">
        <v>1110400000</v>
      </c>
      <c r="D312" s="84"/>
      <c r="E312" s="85" t="s">
        <v>236</v>
      </c>
      <c r="F312" s="28">
        <f>F313</f>
        <v>236.1</v>
      </c>
      <c r="G312" s="28">
        <f t="shared" si="110"/>
        <v>0</v>
      </c>
      <c r="H312" s="28">
        <f t="shared" si="110"/>
        <v>0</v>
      </c>
    </row>
    <row r="313" spans="1:8" ht="31.5">
      <c r="A313" s="10" t="s">
        <v>24</v>
      </c>
      <c r="B313" s="84" t="s">
        <v>43</v>
      </c>
      <c r="C313" s="84">
        <v>1110410240</v>
      </c>
      <c r="D313" s="84"/>
      <c r="E313" s="85" t="s">
        <v>312</v>
      </c>
      <c r="F313" s="28">
        <f>F314</f>
        <v>236.1</v>
      </c>
      <c r="G313" s="28">
        <f t="shared" si="110"/>
        <v>0</v>
      </c>
      <c r="H313" s="28">
        <f t="shared" si="110"/>
        <v>0</v>
      </c>
    </row>
    <row r="314" spans="1:8" ht="31.5">
      <c r="A314" s="10" t="s">
        <v>24</v>
      </c>
      <c r="B314" s="84" t="s">
        <v>43</v>
      </c>
      <c r="C314" s="84">
        <v>1110410240</v>
      </c>
      <c r="D314" s="86" t="s">
        <v>112</v>
      </c>
      <c r="E314" s="85" t="s">
        <v>113</v>
      </c>
      <c r="F314" s="28">
        <f>F315</f>
        <v>236.1</v>
      </c>
      <c r="G314" s="28">
        <f t="shared" si="110"/>
        <v>0</v>
      </c>
      <c r="H314" s="28">
        <f t="shared" si="110"/>
        <v>0</v>
      </c>
    </row>
    <row r="315" spans="1:8" ht="12.75">
      <c r="A315" s="10" t="s">
        <v>24</v>
      </c>
      <c r="B315" s="84" t="s">
        <v>43</v>
      </c>
      <c r="C315" s="84">
        <v>1110410240</v>
      </c>
      <c r="D315" s="84">
        <v>610</v>
      </c>
      <c r="E315" s="85" t="s">
        <v>130</v>
      </c>
      <c r="F315" s="28">
        <v>236.1</v>
      </c>
      <c r="G315" s="28">
        <v>0</v>
      </c>
      <c r="H315" s="28">
        <v>0</v>
      </c>
    </row>
    <row r="316" spans="1:8" ht="31.5">
      <c r="A316" s="10" t="s">
        <v>24</v>
      </c>
      <c r="B316" s="55" t="s">
        <v>43</v>
      </c>
      <c r="C316" s="57">
        <v>1130000000</v>
      </c>
      <c r="D316" s="55"/>
      <c r="E316" s="56" t="s">
        <v>142</v>
      </c>
      <c r="F316" s="28">
        <f>F321+F317</f>
        <v>89.4</v>
      </c>
      <c r="G316" s="28">
        <f>G321+G317</f>
        <v>93.69999999999999</v>
      </c>
      <c r="H316" s="28">
        <f>H321+H317</f>
        <v>93.69999999999999</v>
      </c>
    </row>
    <row r="317" spans="1:8" ht="31.5">
      <c r="A317" s="10" t="s">
        <v>24</v>
      </c>
      <c r="B317" s="55" t="s">
        <v>43</v>
      </c>
      <c r="C317" s="55">
        <v>1130200000</v>
      </c>
      <c r="D317" s="55"/>
      <c r="E317" s="56" t="s">
        <v>239</v>
      </c>
      <c r="F317" s="28">
        <f>F318</f>
        <v>21.9</v>
      </c>
      <c r="G317" s="28">
        <f aca="true" t="shared" si="111" ref="G317:H319">G318</f>
        <v>23.9</v>
      </c>
      <c r="H317" s="28">
        <f t="shared" si="111"/>
        <v>23.9</v>
      </c>
    </row>
    <row r="318" spans="1:8" ht="31.5">
      <c r="A318" s="10" t="s">
        <v>24</v>
      </c>
      <c r="B318" s="55" t="s">
        <v>43</v>
      </c>
      <c r="C318" s="55">
        <v>1130220270</v>
      </c>
      <c r="D318" s="55"/>
      <c r="E318" s="56" t="s">
        <v>240</v>
      </c>
      <c r="F318" s="28">
        <f>F319</f>
        <v>21.9</v>
      </c>
      <c r="G318" s="28">
        <f t="shared" si="111"/>
        <v>23.9</v>
      </c>
      <c r="H318" s="28">
        <f t="shared" si="111"/>
        <v>23.9</v>
      </c>
    </row>
    <row r="319" spans="1:8" ht="12.75">
      <c r="A319" s="10" t="s">
        <v>24</v>
      </c>
      <c r="B319" s="55" t="s">
        <v>43</v>
      </c>
      <c r="C319" s="55">
        <v>1130220270</v>
      </c>
      <c r="D319" s="57" t="s">
        <v>79</v>
      </c>
      <c r="E319" s="56" t="s">
        <v>80</v>
      </c>
      <c r="F319" s="28">
        <f>F320</f>
        <v>21.9</v>
      </c>
      <c r="G319" s="28">
        <f t="shared" si="111"/>
        <v>23.9</v>
      </c>
      <c r="H319" s="28">
        <f t="shared" si="111"/>
        <v>23.9</v>
      </c>
    </row>
    <row r="320" spans="1:8" ht="12.75">
      <c r="A320" s="10" t="s">
        <v>24</v>
      </c>
      <c r="B320" s="55" t="s">
        <v>43</v>
      </c>
      <c r="C320" s="55">
        <v>1130220270</v>
      </c>
      <c r="D320" s="55">
        <v>350</v>
      </c>
      <c r="E320" s="56" t="s">
        <v>204</v>
      </c>
      <c r="F320" s="28">
        <v>21.9</v>
      </c>
      <c r="G320" s="28">
        <v>23.9</v>
      </c>
      <c r="H320" s="28">
        <v>23.9</v>
      </c>
    </row>
    <row r="321" spans="1:8" ht="31.5">
      <c r="A321" s="10" t="s">
        <v>24</v>
      </c>
      <c r="B321" s="55" t="s">
        <v>43</v>
      </c>
      <c r="C321" s="55">
        <v>1130400000</v>
      </c>
      <c r="D321" s="55"/>
      <c r="E321" s="56" t="s">
        <v>181</v>
      </c>
      <c r="F321" s="28">
        <f>F322</f>
        <v>67.5</v>
      </c>
      <c r="G321" s="28">
        <f aca="true" t="shared" si="112" ref="G321:H323">G322</f>
        <v>69.8</v>
      </c>
      <c r="H321" s="28">
        <f t="shared" si="112"/>
        <v>69.8</v>
      </c>
    </row>
    <row r="322" spans="1:8" ht="31.5">
      <c r="A322" s="10" t="s">
        <v>24</v>
      </c>
      <c r="B322" s="55" t="s">
        <v>43</v>
      </c>
      <c r="C322" s="55">
        <v>1130420290</v>
      </c>
      <c r="D322" s="55"/>
      <c r="E322" s="56" t="s">
        <v>182</v>
      </c>
      <c r="F322" s="28">
        <f>F323</f>
        <v>67.5</v>
      </c>
      <c r="G322" s="28">
        <f t="shared" si="112"/>
        <v>69.8</v>
      </c>
      <c r="H322" s="28">
        <f t="shared" si="112"/>
        <v>69.8</v>
      </c>
    </row>
    <row r="323" spans="1:8" ht="31.5">
      <c r="A323" s="10" t="s">
        <v>24</v>
      </c>
      <c r="B323" s="55" t="s">
        <v>43</v>
      </c>
      <c r="C323" s="55">
        <v>1130420290</v>
      </c>
      <c r="D323" s="57" t="s">
        <v>112</v>
      </c>
      <c r="E323" s="56" t="s">
        <v>113</v>
      </c>
      <c r="F323" s="28">
        <f>F324</f>
        <v>67.5</v>
      </c>
      <c r="G323" s="28">
        <f t="shared" si="112"/>
        <v>69.8</v>
      </c>
      <c r="H323" s="28">
        <f t="shared" si="112"/>
        <v>69.8</v>
      </c>
    </row>
    <row r="324" spans="1:8" ht="12.75">
      <c r="A324" s="10" t="s">
        <v>24</v>
      </c>
      <c r="B324" s="55" t="s">
        <v>43</v>
      </c>
      <c r="C324" s="55">
        <v>1130420290</v>
      </c>
      <c r="D324" s="55">
        <v>610</v>
      </c>
      <c r="E324" s="56" t="s">
        <v>130</v>
      </c>
      <c r="F324" s="28">
        <v>67.5</v>
      </c>
      <c r="G324" s="28">
        <v>69.8</v>
      </c>
      <c r="H324" s="28">
        <v>69.8</v>
      </c>
    </row>
    <row r="325" spans="1:8" ht="47.25">
      <c r="A325" s="10" t="s">
        <v>24</v>
      </c>
      <c r="B325" s="55" t="s">
        <v>43</v>
      </c>
      <c r="C325" s="57">
        <v>1200000000</v>
      </c>
      <c r="D325" s="55"/>
      <c r="E325" s="90" t="s">
        <v>242</v>
      </c>
      <c r="F325" s="28">
        <f>F326</f>
        <v>112.3</v>
      </c>
      <c r="G325" s="28">
        <f aca="true" t="shared" si="113" ref="G325:H329">G326</f>
        <v>124.4</v>
      </c>
      <c r="H325" s="28">
        <f t="shared" si="113"/>
        <v>124.4</v>
      </c>
    </row>
    <row r="326" spans="1:8" ht="31.5">
      <c r="A326" s="10" t="s">
        <v>24</v>
      </c>
      <c r="B326" s="55" t="s">
        <v>43</v>
      </c>
      <c r="C326" s="57">
        <v>1240000000</v>
      </c>
      <c r="D326" s="11"/>
      <c r="E326" s="56" t="s">
        <v>171</v>
      </c>
      <c r="F326" s="28">
        <f>F327</f>
        <v>112.3</v>
      </c>
      <c r="G326" s="28">
        <f t="shared" si="113"/>
        <v>124.4</v>
      </c>
      <c r="H326" s="28">
        <f t="shared" si="113"/>
        <v>124.4</v>
      </c>
    </row>
    <row r="327" spans="1:8" ht="31.5">
      <c r="A327" s="10" t="s">
        <v>24</v>
      </c>
      <c r="B327" s="55" t="s">
        <v>43</v>
      </c>
      <c r="C327" s="11" t="s">
        <v>173</v>
      </c>
      <c r="D327" s="11"/>
      <c r="E327" s="56" t="s">
        <v>172</v>
      </c>
      <c r="F327" s="28">
        <f>F328+F331+F334+F337</f>
        <v>112.3</v>
      </c>
      <c r="G327" s="28">
        <f aca="true" t="shared" si="114" ref="G327:H327">G328+G331+G334+G337</f>
        <v>124.4</v>
      </c>
      <c r="H327" s="28">
        <f t="shared" si="114"/>
        <v>124.4</v>
      </c>
    </row>
    <row r="328" spans="1:8" ht="12.75">
      <c r="A328" s="10" t="s">
        <v>24</v>
      </c>
      <c r="B328" s="3" t="s">
        <v>43</v>
      </c>
      <c r="C328" s="11" t="s">
        <v>275</v>
      </c>
      <c r="D328" s="13"/>
      <c r="E328" s="56" t="s">
        <v>186</v>
      </c>
      <c r="F328" s="28">
        <f>F329</f>
        <v>74.3</v>
      </c>
      <c r="G328" s="28">
        <f t="shared" si="113"/>
        <v>51</v>
      </c>
      <c r="H328" s="28">
        <f t="shared" si="113"/>
        <v>51</v>
      </c>
    </row>
    <row r="329" spans="1:8" ht="31.5">
      <c r="A329" s="10" t="s">
        <v>24</v>
      </c>
      <c r="B329" s="3" t="s">
        <v>43</v>
      </c>
      <c r="C329" s="11" t="s">
        <v>275</v>
      </c>
      <c r="D329" s="57" t="s">
        <v>112</v>
      </c>
      <c r="E329" s="56" t="s">
        <v>113</v>
      </c>
      <c r="F329" s="28">
        <f>F330</f>
        <v>74.3</v>
      </c>
      <c r="G329" s="28">
        <f t="shared" si="113"/>
        <v>51</v>
      </c>
      <c r="H329" s="28">
        <f t="shared" si="113"/>
        <v>51</v>
      </c>
    </row>
    <row r="330" spans="1:8" ht="12.75">
      <c r="A330" s="10" t="s">
        <v>24</v>
      </c>
      <c r="B330" s="3" t="s">
        <v>43</v>
      </c>
      <c r="C330" s="11" t="s">
        <v>275</v>
      </c>
      <c r="D330" s="55">
        <v>610</v>
      </c>
      <c r="E330" s="56" t="s">
        <v>130</v>
      </c>
      <c r="F330" s="28">
        <f>49.3+25</f>
        <v>74.3</v>
      </c>
      <c r="G330" s="28">
        <v>51</v>
      </c>
      <c r="H330" s="28">
        <v>51</v>
      </c>
    </row>
    <row r="331" spans="1:8" ht="31.5">
      <c r="A331" s="10" t="s">
        <v>24</v>
      </c>
      <c r="B331" s="55" t="s">
        <v>43</v>
      </c>
      <c r="C331" s="11" t="s">
        <v>175</v>
      </c>
      <c r="D331" s="11"/>
      <c r="E331" s="56" t="s">
        <v>174</v>
      </c>
      <c r="F331" s="28">
        <f>F332</f>
        <v>0</v>
      </c>
      <c r="G331" s="28">
        <f aca="true" t="shared" si="115" ref="G331:H332">G332</f>
        <v>22.9</v>
      </c>
      <c r="H331" s="28">
        <f t="shared" si="115"/>
        <v>22.9</v>
      </c>
    </row>
    <row r="332" spans="1:8" ht="31.5">
      <c r="A332" s="10" t="s">
        <v>24</v>
      </c>
      <c r="B332" s="55" t="s">
        <v>43</v>
      </c>
      <c r="C332" s="11" t="s">
        <v>175</v>
      </c>
      <c r="D332" s="57" t="s">
        <v>75</v>
      </c>
      <c r="E332" s="56" t="s">
        <v>110</v>
      </c>
      <c r="F332" s="28">
        <f>F333</f>
        <v>0</v>
      </c>
      <c r="G332" s="28">
        <f t="shared" si="115"/>
        <v>22.9</v>
      </c>
      <c r="H332" s="28">
        <f t="shared" si="115"/>
        <v>22.9</v>
      </c>
    </row>
    <row r="333" spans="1:8" ht="34.15" customHeight="1">
      <c r="A333" s="10" t="s">
        <v>24</v>
      </c>
      <c r="B333" s="55" t="s">
        <v>43</v>
      </c>
      <c r="C333" s="11" t="s">
        <v>175</v>
      </c>
      <c r="D333" s="55">
        <v>240</v>
      </c>
      <c r="E333" s="56" t="s">
        <v>469</v>
      </c>
      <c r="F333" s="28">
        <v>0</v>
      </c>
      <c r="G333" s="28">
        <v>22.9</v>
      </c>
      <c r="H333" s="28">
        <v>22.9</v>
      </c>
    </row>
    <row r="334" spans="1:8" ht="31.5">
      <c r="A334" s="10" t="s">
        <v>24</v>
      </c>
      <c r="B334" s="55" t="s">
        <v>43</v>
      </c>
      <c r="C334" s="11" t="s">
        <v>177</v>
      </c>
      <c r="D334" s="11"/>
      <c r="E334" s="56" t="s">
        <v>176</v>
      </c>
      <c r="F334" s="28">
        <f>F335</f>
        <v>14</v>
      </c>
      <c r="G334" s="28">
        <f aca="true" t="shared" si="116" ref="G334:H335">G335</f>
        <v>14.5</v>
      </c>
      <c r="H334" s="28">
        <f t="shared" si="116"/>
        <v>14.5</v>
      </c>
    </row>
    <row r="335" spans="1:8" ht="31.5">
      <c r="A335" s="10" t="s">
        <v>24</v>
      </c>
      <c r="B335" s="55" t="s">
        <v>43</v>
      </c>
      <c r="C335" s="11" t="s">
        <v>177</v>
      </c>
      <c r="D335" s="57" t="s">
        <v>75</v>
      </c>
      <c r="E335" s="56" t="s">
        <v>110</v>
      </c>
      <c r="F335" s="28">
        <f>F336</f>
        <v>14</v>
      </c>
      <c r="G335" s="28">
        <f t="shared" si="116"/>
        <v>14.5</v>
      </c>
      <c r="H335" s="28">
        <f t="shared" si="116"/>
        <v>14.5</v>
      </c>
    </row>
    <row r="336" spans="1:8" ht="33" customHeight="1">
      <c r="A336" s="10" t="s">
        <v>24</v>
      </c>
      <c r="B336" s="55" t="s">
        <v>43</v>
      </c>
      <c r="C336" s="11" t="s">
        <v>177</v>
      </c>
      <c r="D336" s="55">
        <v>240</v>
      </c>
      <c r="E336" s="199" t="s">
        <v>469</v>
      </c>
      <c r="F336" s="28">
        <v>14</v>
      </c>
      <c r="G336" s="28">
        <v>14.5</v>
      </c>
      <c r="H336" s="28">
        <v>14.5</v>
      </c>
    </row>
    <row r="337" spans="1:8" ht="12.75">
      <c r="A337" s="10" t="s">
        <v>24</v>
      </c>
      <c r="B337" s="55" t="s">
        <v>43</v>
      </c>
      <c r="C337" s="11" t="s">
        <v>278</v>
      </c>
      <c r="D337" s="11"/>
      <c r="E337" s="56" t="s">
        <v>178</v>
      </c>
      <c r="F337" s="28">
        <f>F338</f>
        <v>24</v>
      </c>
      <c r="G337" s="28">
        <f aca="true" t="shared" si="117" ref="G337:H338">G338</f>
        <v>36</v>
      </c>
      <c r="H337" s="28">
        <f t="shared" si="117"/>
        <v>36</v>
      </c>
    </row>
    <row r="338" spans="1:8" ht="12.75">
      <c r="A338" s="10" t="s">
        <v>24</v>
      </c>
      <c r="B338" s="55" t="s">
        <v>43</v>
      </c>
      <c r="C338" s="11" t="s">
        <v>278</v>
      </c>
      <c r="D338" s="57" t="s">
        <v>79</v>
      </c>
      <c r="E338" s="56" t="s">
        <v>80</v>
      </c>
      <c r="F338" s="28">
        <f>F339</f>
        <v>24</v>
      </c>
      <c r="G338" s="28">
        <f t="shared" si="117"/>
        <v>36</v>
      </c>
      <c r="H338" s="28">
        <f t="shared" si="117"/>
        <v>36</v>
      </c>
    </row>
    <row r="339" spans="1:8" ht="12.75">
      <c r="A339" s="10" t="s">
        <v>24</v>
      </c>
      <c r="B339" s="55" t="s">
        <v>43</v>
      </c>
      <c r="C339" s="11" t="s">
        <v>278</v>
      </c>
      <c r="D339" s="11" t="s">
        <v>179</v>
      </c>
      <c r="E339" s="56" t="s">
        <v>180</v>
      </c>
      <c r="F339" s="28">
        <v>24</v>
      </c>
      <c r="G339" s="28">
        <v>36</v>
      </c>
      <c r="H339" s="28">
        <v>36</v>
      </c>
    </row>
    <row r="340" spans="1:8" ht="12.75">
      <c r="A340" s="55" t="s">
        <v>24</v>
      </c>
      <c r="B340" s="55" t="s">
        <v>46</v>
      </c>
      <c r="C340" s="55" t="s">
        <v>72</v>
      </c>
      <c r="D340" s="55" t="s">
        <v>72</v>
      </c>
      <c r="E340" s="9" t="s">
        <v>88</v>
      </c>
      <c r="F340" s="28">
        <f>F341</f>
        <v>37362.6</v>
      </c>
      <c r="G340" s="28">
        <f aca="true" t="shared" si="118" ref="G340">G341</f>
        <v>29347.9</v>
      </c>
      <c r="H340" s="28">
        <f>H341</f>
        <v>29347.9</v>
      </c>
    </row>
    <row r="341" spans="1:8" ht="12.75">
      <c r="A341" s="55" t="s">
        <v>24</v>
      </c>
      <c r="B341" s="55" t="s">
        <v>47</v>
      </c>
      <c r="C341" s="55" t="s">
        <v>72</v>
      </c>
      <c r="D341" s="55" t="s">
        <v>72</v>
      </c>
      <c r="E341" s="56" t="s">
        <v>17</v>
      </c>
      <c r="F341" s="28">
        <f>F342+F384</f>
        <v>37362.6</v>
      </c>
      <c r="G341" s="28">
        <f aca="true" t="shared" si="119" ref="G341:H341">G342+G384</f>
        <v>29347.9</v>
      </c>
      <c r="H341" s="28">
        <f t="shared" si="119"/>
        <v>29347.9</v>
      </c>
    </row>
    <row r="342" spans="1:8" ht="47.25">
      <c r="A342" s="55" t="s">
        <v>24</v>
      </c>
      <c r="B342" s="55" t="s">
        <v>47</v>
      </c>
      <c r="C342" s="57">
        <v>1200000000</v>
      </c>
      <c r="D342" s="55"/>
      <c r="E342" s="56" t="s">
        <v>242</v>
      </c>
      <c r="F342" s="28">
        <f>F343+F361</f>
        <v>37162.6</v>
      </c>
      <c r="G342" s="28">
        <f>G343+G361</f>
        <v>29347.9</v>
      </c>
      <c r="H342" s="28">
        <f>H343+H361</f>
        <v>29347.9</v>
      </c>
    </row>
    <row r="343" spans="1:8" ht="31.5">
      <c r="A343" s="55" t="s">
        <v>24</v>
      </c>
      <c r="B343" s="55" t="s">
        <v>47</v>
      </c>
      <c r="C343" s="57">
        <v>1210000000</v>
      </c>
      <c r="D343" s="55"/>
      <c r="E343" s="56" t="s">
        <v>258</v>
      </c>
      <c r="F343" s="28">
        <f>F344+F354</f>
        <v>12654.400000000001</v>
      </c>
      <c r="G343" s="28">
        <f>G344+G354</f>
        <v>9867.1</v>
      </c>
      <c r="H343" s="28">
        <f>H344+H354</f>
        <v>9867.1</v>
      </c>
    </row>
    <row r="344" spans="1:8" ht="31.5">
      <c r="A344" s="55" t="s">
        <v>24</v>
      </c>
      <c r="B344" s="55" t="s">
        <v>47</v>
      </c>
      <c r="C344" s="57">
        <v>1210100000</v>
      </c>
      <c r="D344" s="55"/>
      <c r="E344" s="56" t="s">
        <v>259</v>
      </c>
      <c r="F344" s="28">
        <f>F348+F345+F351</f>
        <v>12546.7</v>
      </c>
      <c r="G344" s="28">
        <f aca="true" t="shared" si="120" ref="G344:H344">G348+G345+G351</f>
        <v>9787.1</v>
      </c>
      <c r="H344" s="28">
        <f t="shared" si="120"/>
        <v>9787.1</v>
      </c>
    </row>
    <row r="345" spans="1:8" ht="47.25">
      <c r="A345" s="55" t="s">
        <v>24</v>
      </c>
      <c r="B345" s="55" t="s">
        <v>47</v>
      </c>
      <c r="C345" s="57">
        <v>1210110680</v>
      </c>
      <c r="D345" s="55"/>
      <c r="E345" s="52" t="s">
        <v>324</v>
      </c>
      <c r="F345" s="28">
        <f>F346</f>
        <v>3009.9999999999995</v>
      </c>
      <c r="G345" s="28">
        <f aca="true" t="shared" si="121" ref="G345:H346">G346</f>
        <v>0</v>
      </c>
      <c r="H345" s="28">
        <f t="shared" si="121"/>
        <v>0</v>
      </c>
    </row>
    <row r="346" spans="1:8" ht="31.5">
      <c r="A346" s="55" t="s">
        <v>24</v>
      </c>
      <c r="B346" s="55" t="s">
        <v>47</v>
      </c>
      <c r="C346" s="57">
        <v>1210110680</v>
      </c>
      <c r="D346" s="57" t="s">
        <v>112</v>
      </c>
      <c r="E346" s="56" t="s">
        <v>113</v>
      </c>
      <c r="F346" s="28">
        <f>F347</f>
        <v>3009.9999999999995</v>
      </c>
      <c r="G346" s="28">
        <f t="shared" si="121"/>
        <v>0</v>
      </c>
      <c r="H346" s="28">
        <f t="shared" si="121"/>
        <v>0</v>
      </c>
    </row>
    <row r="347" spans="1:8" ht="12.75">
      <c r="A347" s="55" t="s">
        <v>24</v>
      </c>
      <c r="B347" s="55" t="s">
        <v>47</v>
      </c>
      <c r="C347" s="57">
        <v>1210110680</v>
      </c>
      <c r="D347" s="55">
        <v>610</v>
      </c>
      <c r="E347" s="56" t="s">
        <v>130</v>
      </c>
      <c r="F347" s="28">
        <f>1816.1+1193.8+0.1</f>
        <v>3009.9999999999995</v>
      </c>
      <c r="G347" s="28">
        <v>0</v>
      </c>
      <c r="H347" s="28">
        <v>0</v>
      </c>
    </row>
    <row r="348" spans="1:8" ht="31.5">
      <c r="A348" s="55" t="s">
        <v>24</v>
      </c>
      <c r="B348" s="55" t="s">
        <v>47</v>
      </c>
      <c r="C348" s="57">
        <v>1210120010</v>
      </c>
      <c r="D348" s="55"/>
      <c r="E348" s="90" t="s">
        <v>151</v>
      </c>
      <c r="F348" s="28">
        <f>F349</f>
        <v>9504.2</v>
      </c>
      <c r="G348" s="28">
        <f aca="true" t="shared" si="122" ref="G348:H349">G349</f>
        <v>9787.1</v>
      </c>
      <c r="H348" s="28">
        <f t="shared" si="122"/>
        <v>9787.1</v>
      </c>
    </row>
    <row r="349" spans="1:8" ht="31.5">
      <c r="A349" s="55" t="s">
        <v>24</v>
      </c>
      <c r="B349" s="55" t="s">
        <v>47</v>
      </c>
      <c r="C349" s="57">
        <v>1210120010</v>
      </c>
      <c r="D349" s="57" t="s">
        <v>112</v>
      </c>
      <c r="E349" s="56" t="s">
        <v>113</v>
      </c>
      <c r="F349" s="28">
        <f>F350</f>
        <v>9504.2</v>
      </c>
      <c r="G349" s="28">
        <f t="shared" si="122"/>
        <v>9787.1</v>
      </c>
      <c r="H349" s="28">
        <f t="shared" si="122"/>
        <v>9787.1</v>
      </c>
    </row>
    <row r="350" spans="1:8" ht="12.75">
      <c r="A350" s="55" t="s">
        <v>24</v>
      </c>
      <c r="B350" s="55" t="s">
        <v>47</v>
      </c>
      <c r="C350" s="57">
        <v>1210120010</v>
      </c>
      <c r="D350" s="55">
        <v>610</v>
      </c>
      <c r="E350" s="56" t="s">
        <v>130</v>
      </c>
      <c r="F350" s="28">
        <f>9616.1-18.2-79.4-14.3</f>
        <v>9504.2</v>
      </c>
      <c r="G350" s="28">
        <v>9787.1</v>
      </c>
      <c r="H350" s="28">
        <v>9787.1</v>
      </c>
    </row>
    <row r="351" spans="1:8" ht="47.25">
      <c r="A351" s="55" t="s">
        <v>24</v>
      </c>
      <c r="B351" s="55" t="s">
        <v>47</v>
      </c>
      <c r="C351" s="57" t="s">
        <v>314</v>
      </c>
      <c r="D351" s="55"/>
      <c r="E351" s="52" t="s">
        <v>323</v>
      </c>
      <c r="F351" s="28">
        <f>F352</f>
        <v>32.5</v>
      </c>
      <c r="G351" s="28">
        <f aca="true" t="shared" si="123" ref="G351:H352">G352</f>
        <v>0</v>
      </c>
      <c r="H351" s="28">
        <f t="shared" si="123"/>
        <v>0</v>
      </c>
    </row>
    <row r="352" spans="1:8" ht="31.5">
      <c r="A352" s="55" t="s">
        <v>24</v>
      </c>
      <c r="B352" s="55" t="s">
        <v>47</v>
      </c>
      <c r="C352" s="57" t="s">
        <v>314</v>
      </c>
      <c r="D352" s="57" t="s">
        <v>112</v>
      </c>
      <c r="E352" s="56" t="s">
        <v>113</v>
      </c>
      <c r="F352" s="28">
        <f>F353</f>
        <v>32.5</v>
      </c>
      <c r="G352" s="28">
        <f t="shared" si="123"/>
        <v>0</v>
      </c>
      <c r="H352" s="28">
        <f t="shared" si="123"/>
        <v>0</v>
      </c>
    </row>
    <row r="353" spans="1:8" ht="12.75">
      <c r="A353" s="55" t="s">
        <v>24</v>
      </c>
      <c r="B353" s="55" t="s">
        <v>47</v>
      </c>
      <c r="C353" s="57" t="s">
        <v>314</v>
      </c>
      <c r="D353" s="55">
        <v>610</v>
      </c>
      <c r="E353" s="56" t="s">
        <v>130</v>
      </c>
      <c r="F353" s="28">
        <f>18.2+14.3</f>
        <v>32.5</v>
      </c>
      <c r="G353" s="28">
        <v>0</v>
      </c>
      <c r="H353" s="28">
        <v>0</v>
      </c>
    </row>
    <row r="354" spans="1:8" ht="31.5">
      <c r="A354" s="55" t="s">
        <v>24</v>
      </c>
      <c r="B354" s="55" t="s">
        <v>47</v>
      </c>
      <c r="C354" s="57">
        <v>1210300000</v>
      </c>
      <c r="D354" s="55"/>
      <c r="E354" s="56" t="s">
        <v>260</v>
      </c>
      <c r="F354" s="28">
        <f>F358+F355</f>
        <v>107.7</v>
      </c>
      <c r="G354" s="28">
        <f aca="true" t="shared" si="124" ref="G354:H354">G358+G355</f>
        <v>80</v>
      </c>
      <c r="H354" s="28">
        <f t="shared" si="124"/>
        <v>80</v>
      </c>
    </row>
    <row r="355" spans="1:8" ht="31.5">
      <c r="A355" s="92" t="s">
        <v>24</v>
      </c>
      <c r="B355" s="92" t="s">
        <v>47</v>
      </c>
      <c r="C355" s="94">
        <v>1210320030</v>
      </c>
      <c r="D355" s="92"/>
      <c r="E355" s="93" t="s">
        <v>292</v>
      </c>
      <c r="F355" s="28">
        <f>F356</f>
        <v>32.7</v>
      </c>
      <c r="G355" s="28">
        <f aca="true" t="shared" si="125" ref="G355:H356">G356</f>
        <v>0</v>
      </c>
      <c r="H355" s="28">
        <f t="shared" si="125"/>
        <v>0</v>
      </c>
    </row>
    <row r="356" spans="1:8" ht="31.5">
      <c r="A356" s="92" t="s">
        <v>24</v>
      </c>
      <c r="B356" s="92" t="s">
        <v>47</v>
      </c>
      <c r="C356" s="94">
        <v>1210320030</v>
      </c>
      <c r="D356" s="94" t="s">
        <v>112</v>
      </c>
      <c r="E356" s="93" t="s">
        <v>113</v>
      </c>
      <c r="F356" s="28">
        <f>F357</f>
        <v>32.7</v>
      </c>
      <c r="G356" s="28">
        <f t="shared" si="125"/>
        <v>0</v>
      </c>
      <c r="H356" s="28">
        <f t="shared" si="125"/>
        <v>0</v>
      </c>
    </row>
    <row r="357" spans="1:8" ht="12.75">
      <c r="A357" s="92" t="s">
        <v>24</v>
      </c>
      <c r="B357" s="92" t="s">
        <v>47</v>
      </c>
      <c r="C357" s="94">
        <v>1210320030</v>
      </c>
      <c r="D357" s="92">
        <v>610</v>
      </c>
      <c r="E357" s="93" t="s">
        <v>130</v>
      </c>
      <c r="F357" s="28">
        <v>32.7</v>
      </c>
      <c r="G357" s="28">
        <v>0</v>
      </c>
      <c r="H357" s="28">
        <v>0</v>
      </c>
    </row>
    <row r="358" spans="1:8" ht="12.75">
      <c r="A358" s="55" t="s">
        <v>24</v>
      </c>
      <c r="B358" s="55" t="s">
        <v>47</v>
      </c>
      <c r="C358" s="55" t="s">
        <v>183</v>
      </c>
      <c r="D358" s="55"/>
      <c r="E358" s="69" t="s">
        <v>352</v>
      </c>
      <c r="F358" s="28">
        <f>F359</f>
        <v>75</v>
      </c>
      <c r="G358" s="28">
        <f aca="true" t="shared" si="126" ref="G358:H359">G359</f>
        <v>80</v>
      </c>
      <c r="H358" s="28">
        <f t="shared" si="126"/>
        <v>80</v>
      </c>
    </row>
    <row r="359" spans="1:8" ht="31.5">
      <c r="A359" s="55" t="s">
        <v>24</v>
      </c>
      <c r="B359" s="55" t="s">
        <v>47</v>
      </c>
      <c r="C359" s="55" t="s">
        <v>183</v>
      </c>
      <c r="D359" s="57" t="s">
        <v>112</v>
      </c>
      <c r="E359" s="56" t="s">
        <v>113</v>
      </c>
      <c r="F359" s="28">
        <f>F360</f>
        <v>75</v>
      </c>
      <c r="G359" s="28">
        <f t="shared" si="126"/>
        <v>80</v>
      </c>
      <c r="H359" s="28">
        <f t="shared" si="126"/>
        <v>80</v>
      </c>
    </row>
    <row r="360" spans="1:8" ht="12.75">
      <c r="A360" s="55" t="s">
        <v>24</v>
      </c>
      <c r="B360" s="55" t="s">
        <v>47</v>
      </c>
      <c r="C360" s="55" t="s">
        <v>183</v>
      </c>
      <c r="D360" s="55">
        <v>610</v>
      </c>
      <c r="E360" s="56" t="s">
        <v>130</v>
      </c>
      <c r="F360" s="28">
        <v>75</v>
      </c>
      <c r="G360" s="28">
        <v>80</v>
      </c>
      <c r="H360" s="28">
        <v>80</v>
      </c>
    </row>
    <row r="361" spans="1:8" ht="31.5">
      <c r="A361" s="55" t="s">
        <v>24</v>
      </c>
      <c r="B361" s="55" t="s">
        <v>47</v>
      </c>
      <c r="C361" s="57">
        <v>1220000000</v>
      </c>
      <c r="D361" s="55"/>
      <c r="E361" s="56" t="s">
        <v>184</v>
      </c>
      <c r="F361" s="28">
        <f>F362+F376+F380+F372</f>
        <v>24508.199999999997</v>
      </c>
      <c r="G361" s="28">
        <f>G362+G376+G380+G372</f>
        <v>19480.8</v>
      </c>
      <c r="H361" s="28">
        <f>H362+H376+H380+H372</f>
        <v>19480.8</v>
      </c>
    </row>
    <row r="362" spans="1:8" ht="34.5" customHeight="1">
      <c r="A362" s="55" t="s">
        <v>24</v>
      </c>
      <c r="B362" s="55" t="s">
        <v>47</v>
      </c>
      <c r="C362" s="55">
        <v>1220100000</v>
      </c>
      <c r="D362" s="55"/>
      <c r="E362" s="56" t="s">
        <v>261</v>
      </c>
      <c r="F362" s="28">
        <f>F366+F369+F363</f>
        <v>24414.999999999996</v>
      </c>
      <c r="G362" s="28">
        <f aca="true" t="shared" si="127" ref="G362:H362">G366+G369+G363</f>
        <v>19446.5</v>
      </c>
      <c r="H362" s="28">
        <f t="shared" si="127"/>
        <v>19446.5</v>
      </c>
    </row>
    <row r="363" spans="1:8" ht="47.25">
      <c r="A363" s="55" t="s">
        <v>24</v>
      </c>
      <c r="B363" s="55" t="s">
        <v>47</v>
      </c>
      <c r="C363" s="55">
        <v>1220110680</v>
      </c>
      <c r="D363" s="55"/>
      <c r="E363" s="52" t="s">
        <v>324</v>
      </c>
      <c r="F363" s="28">
        <f>F364</f>
        <v>4396.5</v>
      </c>
      <c r="G363" s="28">
        <f aca="true" t="shared" si="128" ref="G363:H364">G364</f>
        <v>0</v>
      </c>
      <c r="H363" s="28">
        <f t="shared" si="128"/>
        <v>0</v>
      </c>
    </row>
    <row r="364" spans="1:8" ht="31.5">
      <c r="A364" s="55" t="s">
        <v>24</v>
      </c>
      <c r="B364" s="55" t="s">
        <v>47</v>
      </c>
      <c r="C364" s="55">
        <v>1220110680</v>
      </c>
      <c r="D364" s="57" t="s">
        <v>112</v>
      </c>
      <c r="E364" s="56" t="s">
        <v>113</v>
      </c>
      <c r="F364" s="28">
        <f>F365</f>
        <v>4396.5</v>
      </c>
      <c r="G364" s="28">
        <f t="shared" si="128"/>
        <v>0</v>
      </c>
      <c r="H364" s="28">
        <f t="shared" si="128"/>
        <v>0</v>
      </c>
    </row>
    <row r="365" spans="1:8" ht="12.75">
      <c r="A365" s="55" t="s">
        <v>24</v>
      </c>
      <c r="B365" s="55" t="s">
        <v>47</v>
      </c>
      <c r="C365" s="55">
        <v>1220110680</v>
      </c>
      <c r="D365" s="55">
        <v>610</v>
      </c>
      <c r="E365" s="56" t="s">
        <v>130</v>
      </c>
      <c r="F365" s="28">
        <f>1415.9+2980.7-0.1</f>
        <v>4396.5</v>
      </c>
      <c r="G365" s="28">
        <v>0</v>
      </c>
      <c r="H365" s="28">
        <v>0</v>
      </c>
    </row>
    <row r="366" spans="1:8" ht="31.5">
      <c r="A366" s="55" t="s">
        <v>24</v>
      </c>
      <c r="B366" s="55" t="s">
        <v>47</v>
      </c>
      <c r="C366" s="55">
        <v>1220120010</v>
      </c>
      <c r="D366" s="55"/>
      <c r="E366" s="56" t="s">
        <v>151</v>
      </c>
      <c r="F366" s="28">
        <f>F367</f>
        <v>19976.899999999998</v>
      </c>
      <c r="G366" s="28">
        <f aca="true" t="shared" si="129" ref="G366:H367">G367</f>
        <v>19446.5</v>
      </c>
      <c r="H366" s="28">
        <f t="shared" si="129"/>
        <v>19446.5</v>
      </c>
    </row>
    <row r="367" spans="1:8" ht="31.5">
      <c r="A367" s="55" t="s">
        <v>24</v>
      </c>
      <c r="B367" s="55" t="s">
        <v>47</v>
      </c>
      <c r="C367" s="55">
        <v>1220120010</v>
      </c>
      <c r="D367" s="57" t="s">
        <v>112</v>
      </c>
      <c r="E367" s="56" t="s">
        <v>113</v>
      </c>
      <c r="F367" s="28">
        <f>F368</f>
        <v>19976.899999999998</v>
      </c>
      <c r="G367" s="28">
        <f t="shared" si="129"/>
        <v>19446.5</v>
      </c>
      <c r="H367" s="28">
        <f t="shared" si="129"/>
        <v>19446.5</v>
      </c>
    </row>
    <row r="368" spans="1:8" ht="12.75">
      <c r="A368" s="55" t="s">
        <v>24</v>
      </c>
      <c r="B368" s="55" t="s">
        <v>47</v>
      </c>
      <c r="C368" s="55">
        <v>1220120010</v>
      </c>
      <c r="D368" s="55">
        <v>610</v>
      </c>
      <c r="E368" s="56" t="s">
        <v>130</v>
      </c>
      <c r="F368" s="28">
        <f>13416.4+5305.7+724.4-14.2+572-27.4</f>
        <v>19976.899999999998</v>
      </c>
      <c r="G368" s="28">
        <f>13416.4+5305.7+724.4</f>
        <v>19446.5</v>
      </c>
      <c r="H368" s="28">
        <f>13416.4+5305.7+724.4</f>
        <v>19446.5</v>
      </c>
    </row>
    <row r="369" spans="1:8" ht="47.25">
      <c r="A369" s="55" t="s">
        <v>24</v>
      </c>
      <c r="B369" s="55" t="s">
        <v>47</v>
      </c>
      <c r="C369" s="55" t="s">
        <v>315</v>
      </c>
      <c r="D369" s="55"/>
      <c r="E369" s="52" t="s">
        <v>323</v>
      </c>
      <c r="F369" s="28">
        <f>F370</f>
        <v>41.599999999999994</v>
      </c>
      <c r="G369" s="28">
        <f aca="true" t="shared" si="130" ref="G369:H370">G370</f>
        <v>0</v>
      </c>
      <c r="H369" s="28">
        <f t="shared" si="130"/>
        <v>0</v>
      </c>
    </row>
    <row r="370" spans="1:8" ht="31.5">
      <c r="A370" s="55" t="s">
        <v>24</v>
      </c>
      <c r="B370" s="55" t="s">
        <v>47</v>
      </c>
      <c r="C370" s="55" t="s">
        <v>315</v>
      </c>
      <c r="D370" s="57" t="s">
        <v>112</v>
      </c>
      <c r="E370" s="56" t="s">
        <v>113</v>
      </c>
      <c r="F370" s="28">
        <f>F371</f>
        <v>41.599999999999994</v>
      </c>
      <c r="G370" s="28">
        <f t="shared" si="130"/>
        <v>0</v>
      </c>
      <c r="H370" s="28">
        <f t="shared" si="130"/>
        <v>0</v>
      </c>
    </row>
    <row r="371" spans="1:8" ht="12.75">
      <c r="A371" s="55" t="s">
        <v>24</v>
      </c>
      <c r="B371" s="55" t="s">
        <v>47</v>
      </c>
      <c r="C371" s="55" t="s">
        <v>315</v>
      </c>
      <c r="D371" s="55">
        <v>610</v>
      </c>
      <c r="E371" s="56" t="s">
        <v>130</v>
      </c>
      <c r="F371" s="28">
        <f>14.2+27.4</f>
        <v>41.599999999999994</v>
      </c>
      <c r="G371" s="28">
        <v>0</v>
      </c>
      <c r="H371" s="28">
        <v>0</v>
      </c>
    </row>
    <row r="372" spans="1:8" ht="47.25">
      <c r="A372" s="68" t="s">
        <v>24</v>
      </c>
      <c r="B372" s="68" t="s">
        <v>47</v>
      </c>
      <c r="C372" s="68">
        <v>1220300000</v>
      </c>
      <c r="D372" s="68"/>
      <c r="E372" s="69" t="s">
        <v>334</v>
      </c>
      <c r="F372" s="28">
        <f>F373</f>
        <v>36</v>
      </c>
      <c r="G372" s="28">
        <f aca="true" t="shared" si="131" ref="G372:H374">G373</f>
        <v>0</v>
      </c>
      <c r="H372" s="28">
        <f t="shared" si="131"/>
        <v>0</v>
      </c>
    </row>
    <row r="373" spans="1:8" ht="31.5">
      <c r="A373" s="68" t="s">
        <v>24</v>
      </c>
      <c r="B373" s="68" t="s">
        <v>47</v>
      </c>
      <c r="C373" s="68" t="s">
        <v>335</v>
      </c>
      <c r="D373" s="68"/>
      <c r="E373" s="69" t="s">
        <v>353</v>
      </c>
      <c r="F373" s="28">
        <f>F374</f>
        <v>36</v>
      </c>
      <c r="G373" s="28">
        <f t="shared" si="131"/>
        <v>0</v>
      </c>
      <c r="H373" s="28">
        <f t="shared" si="131"/>
        <v>0</v>
      </c>
    </row>
    <row r="374" spans="1:8" ht="31.5">
      <c r="A374" s="68" t="s">
        <v>24</v>
      </c>
      <c r="B374" s="68" t="s">
        <v>47</v>
      </c>
      <c r="C374" s="68" t="s">
        <v>335</v>
      </c>
      <c r="D374" s="70" t="s">
        <v>112</v>
      </c>
      <c r="E374" s="69" t="s">
        <v>113</v>
      </c>
      <c r="F374" s="28">
        <f>F375</f>
        <v>36</v>
      </c>
      <c r="G374" s="28">
        <f t="shared" si="131"/>
        <v>0</v>
      </c>
      <c r="H374" s="28">
        <f t="shared" si="131"/>
        <v>0</v>
      </c>
    </row>
    <row r="375" spans="1:8" ht="12.75">
      <c r="A375" s="68" t="s">
        <v>24</v>
      </c>
      <c r="B375" s="68" t="s">
        <v>47</v>
      </c>
      <c r="C375" s="68" t="s">
        <v>335</v>
      </c>
      <c r="D375" s="68">
        <v>610</v>
      </c>
      <c r="E375" s="69" t="s">
        <v>130</v>
      </c>
      <c r="F375" s="28">
        <v>36</v>
      </c>
      <c r="G375" s="28">
        <v>0</v>
      </c>
      <c r="H375" s="28">
        <v>0</v>
      </c>
    </row>
    <row r="376" spans="1:8" ht="31.5">
      <c r="A376" s="55" t="s">
        <v>24</v>
      </c>
      <c r="B376" s="55" t="s">
        <v>47</v>
      </c>
      <c r="C376" s="55">
        <v>1220400000</v>
      </c>
      <c r="D376" s="55"/>
      <c r="E376" s="56" t="s">
        <v>262</v>
      </c>
      <c r="F376" s="28">
        <f>F377</f>
        <v>24</v>
      </c>
      <c r="G376" s="28">
        <f aca="true" t="shared" si="132" ref="G376:H378">G377</f>
        <v>0</v>
      </c>
      <c r="H376" s="28">
        <f t="shared" si="132"/>
        <v>0</v>
      </c>
    </row>
    <row r="377" spans="1:8" ht="31.5">
      <c r="A377" s="55" t="s">
        <v>24</v>
      </c>
      <c r="B377" s="55" t="s">
        <v>47</v>
      </c>
      <c r="C377" s="55">
        <v>1220420450</v>
      </c>
      <c r="D377" s="55"/>
      <c r="E377" s="56" t="s">
        <v>185</v>
      </c>
      <c r="F377" s="28">
        <f>F378</f>
        <v>24</v>
      </c>
      <c r="G377" s="28">
        <f t="shared" si="132"/>
        <v>0</v>
      </c>
      <c r="H377" s="28">
        <f t="shared" si="132"/>
        <v>0</v>
      </c>
    </row>
    <row r="378" spans="1:8" ht="31.5">
      <c r="A378" s="55" t="s">
        <v>24</v>
      </c>
      <c r="B378" s="55" t="s">
        <v>47</v>
      </c>
      <c r="C378" s="55">
        <v>1220420450</v>
      </c>
      <c r="D378" s="57" t="s">
        <v>75</v>
      </c>
      <c r="E378" s="56" t="s">
        <v>110</v>
      </c>
      <c r="F378" s="28">
        <f>F379</f>
        <v>24</v>
      </c>
      <c r="G378" s="28">
        <f t="shared" si="132"/>
        <v>0</v>
      </c>
      <c r="H378" s="28">
        <f t="shared" si="132"/>
        <v>0</v>
      </c>
    </row>
    <row r="379" spans="1:8" ht="32.45" customHeight="1">
      <c r="A379" s="55" t="s">
        <v>24</v>
      </c>
      <c r="B379" s="55" t="s">
        <v>47</v>
      </c>
      <c r="C379" s="55">
        <v>1220420450</v>
      </c>
      <c r="D379" s="55">
        <v>240</v>
      </c>
      <c r="E379" s="56" t="s">
        <v>469</v>
      </c>
      <c r="F379" s="28">
        <v>24</v>
      </c>
      <c r="G379" s="28">
        <v>0</v>
      </c>
      <c r="H379" s="28">
        <v>0</v>
      </c>
    </row>
    <row r="380" spans="1:8" ht="31.5">
      <c r="A380" s="55" t="s">
        <v>24</v>
      </c>
      <c r="B380" s="55" t="s">
        <v>47</v>
      </c>
      <c r="C380" s="55">
        <v>1220500000</v>
      </c>
      <c r="D380" s="55"/>
      <c r="E380" s="56" t="s">
        <v>263</v>
      </c>
      <c r="F380" s="28">
        <f>F381</f>
        <v>33.2</v>
      </c>
      <c r="G380" s="28">
        <f aca="true" t="shared" si="133" ref="G380:H382">G381</f>
        <v>34.3</v>
      </c>
      <c r="H380" s="28">
        <f t="shared" si="133"/>
        <v>34.3</v>
      </c>
    </row>
    <row r="381" spans="1:8" ht="12.75">
      <c r="A381" s="55" t="s">
        <v>24</v>
      </c>
      <c r="B381" s="55" t="s">
        <v>47</v>
      </c>
      <c r="C381" s="55">
        <v>1220520320</v>
      </c>
      <c r="D381" s="55"/>
      <c r="E381" s="56" t="s">
        <v>186</v>
      </c>
      <c r="F381" s="28">
        <f>F382</f>
        <v>33.2</v>
      </c>
      <c r="G381" s="28">
        <f t="shared" si="133"/>
        <v>34.3</v>
      </c>
      <c r="H381" s="28">
        <f t="shared" si="133"/>
        <v>34.3</v>
      </c>
    </row>
    <row r="382" spans="1:8" ht="31.5">
      <c r="A382" s="55" t="s">
        <v>24</v>
      </c>
      <c r="B382" s="55" t="s">
        <v>47</v>
      </c>
      <c r="C382" s="55">
        <v>1220520320</v>
      </c>
      <c r="D382" s="57" t="s">
        <v>112</v>
      </c>
      <c r="E382" s="56" t="s">
        <v>113</v>
      </c>
      <c r="F382" s="28">
        <f>F383</f>
        <v>33.2</v>
      </c>
      <c r="G382" s="28">
        <f t="shared" si="133"/>
        <v>34.3</v>
      </c>
      <c r="H382" s="28">
        <f t="shared" si="133"/>
        <v>34.3</v>
      </c>
    </row>
    <row r="383" spans="1:8" ht="12.75">
      <c r="A383" s="55" t="s">
        <v>24</v>
      </c>
      <c r="B383" s="55" t="s">
        <v>47</v>
      </c>
      <c r="C383" s="55">
        <v>1220520320</v>
      </c>
      <c r="D383" s="55">
        <v>610</v>
      </c>
      <c r="E383" s="56" t="s">
        <v>130</v>
      </c>
      <c r="F383" s="28">
        <v>33.2</v>
      </c>
      <c r="G383" s="28">
        <v>34.3</v>
      </c>
      <c r="H383" s="28">
        <v>34.3</v>
      </c>
    </row>
    <row r="384" spans="1:8" ht="12.75">
      <c r="A384" s="112" t="s">
        <v>24</v>
      </c>
      <c r="B384" s="112" t="s">
        <v>47</v>
      </c>
      <c r="C384" s="112">
        <v>9900000000</v>
      </c>
      <c r="D384" s="112"/>
      <c r="E384" s="113" t="s">
        <v>131</v>
      </c>
      <c r="F384" s="28">
        <f>F385</f>
        <v>200</v>
      </c>
      <c r="G384" s="28">
        <f aca="true" t="shared" si="134" ref="G384:H387">G385</f>
        <v>0</v>
      </c>
      <c r="H384" s="28">
        <f t="shared" si="134"/>
        <v>0</v>
      </c>
    </row>
    <row r="385" spans="1:8" ht="47.25">
      <c r="A385" s="112" t="s">
        <v>24</v>
      </c>
      <c r="B385" s="112" t="s">
        <v>47</v>
      </c>
      <c r="C385" s="112">
        <v>9920000000</v>
      </c>
      <c r="D385" s="112"/>
      <c r="E385" s="113" t="s">
        <v>383</v>
      </c>
      <c r="F385" s="28">
        <f>F386</f>
        <v>200</v>
      </c>
      <c r="G385" s="28">
        <f t="shared" si="134"/>
        <v>0</v>
      </c>
      <c r="H385" s="28">
        <f t="shared" si="134"/>
        <v>0</v>
      </c>
    </row>
    <row r="386" spans="1:8" ht="33" customHeight="1">
      <c r="A386" s="112" t="s">
        <v>24</v>
      </c>
      <c r="B386" s="112" t="s">
        <v>47</v>
      </c>
      <c r="C386" s="112">
        <v>9920010920</v>
      </c>
      <c r="D386" s="112"/>
      <c r="E386" s="113" t="s">
        <v>384</v>
      </c>
      <c r="F386" s="28">
        <f>F387</f>
        <v>200</v>
      </c>
      <c r="G386" s="28">
        <f t="shared" si="134"/>
        <v>0</v>
      </c>
      <c r="H386" s="28">
        <f t="shared" si="134"/>
        <v>0</v>
      </c>
    </row>
    <row r="387" spans="1:8" ht="31.5">
      <c r="A387" s="112" t="s">
        <v>24</v>
      </c>
      <c r="B387" s="112" t="s">
        <v>47</v>
      </c>
      <c r="C387" s="112">
        <v>9920010920</v>
      </c>
      <c r="D387" s="114" t="s">
        <v>112</v>
      </c>
      <c r="E387" s="113" t="s">
        <v>113</v>
      </c>
      <c r="F387" s="28">
        <f>F388</f>
        <v>200</v>
      </c>
      <c r="G387" s="28">
        <f t="shared" si="134"/>
        <v>0</v>
      </c>
      <c r="H387" s="28">
        <f t="shared" si="134"/>
        <v>0</v>
      </c>
    </row>
    <row r="388" spans="1:8" ht="12.75">
      <c r="A388" s="112" t="s">
        <v>24</v>
      </c>
      <c r="B388" s="112" t="s">
        <v>47</v>
      </c>
      <c r="C388" s="112">
        <v>9920010920</v>
      </c>
      <c r="D388" s="112">
        <v>610</v>
      </c>
      <c r="E388" s="113" t="s">
        <v>130</v>
      </c>
      <c r="F388" s="28">
        <v>200</v>
      </c>
      <c r="G388" s="28">
        <v>0</v>
      </c>
      <c r="H388" s="28">
        <v>0</v>
      </c>
    </row>
    <row r="389" spans="1:8" ht="12.75">
      <c r="A389" s="55" t="s">
        <v>24</v>
      </c>
      <c r="B389" s="55" t="s">
        <v>44</v>
      </c>
      <c r="C389" s="55" t="s">
        <v>72</v>
      </c>
      <c r="D389" s="55" t="s">
        <v>72</v>
      </c>
      <c r="E389" s="12" t="s">
        <v>36</v>
      </c>
      <c r="F389" s="28">
        <f>F390+F399</f>
        <v>11978.4</v>
      </c>
      <c r="G389" s="28">
        <f aca="true" t="shared" si="135" ref="G389:H389">G390+G399</f>
        <v>4315.200000000001</v>
      </c>
      <c r="H389" s="28">
        <f t="shared" si="135"/>
        <v>4315.200000000001</v>
      </c>
    </row>
    <row r="390" spans="1:8" ht="12.75">
      <c r="A390" s="55" t="s">
        <v>24</v>
      </c>
      <c r="B390" s="55" t="s">
        <v>59</v>
      </c>
      <c r="C390" s="55" t="s">
        <v>72</v>
      </c>
      <c r="D390" s="55" t="s">
        <v>72</v>
      </c>
      <c r="E390" s="56" t="s">
        <v>37</v>
      </c>
      <c r="F390" s="28">
        <f>F391</f>
        <v>1650</v>
      </c>
      <c r="G390" s="28">
        <f aca="true" t="shared" si="136" ref="G390:H393">G391</f>
        <v>1650</v>
      </c>
      <c r="H390" s="28">
        <f t="shared" si="136"/>
        <v>1650</v>
      </c>
    </row>
    <row r="391" spans="1:8" ht="47.25">
      <c r="A391" s="55" t="s">
        <v>24</v>
      </c>
      <c r="B391" s="55" t="s">
        <v>59</v>
      </c>
      <c r="C391" s="57">
        <v>1200000000</v>
      </c>
      <c r="D391" s="55"/>
      <c r="E391" s="56" t="s">
        <v>242</v>
      </c>
      <c r="F391" s="28">
        <f>F392</f>
        <v>1650</v>
      </c>
      <c r="G391" s="28">
        <f t="shared" si="136"/>
        <v>1650</v>
      </c>
      <c r="H391" s="28">
        <f t="shared" si="136"/>
        <v>1650</v>
      </c>
    </row>
    <row r="392" spans="1:8" ht="31.5">
      <c r="A392" s="55" t="s">
        <v>24</v>
      </c>
      <c r="B392" s="55" t="s">
        <v>59</v>
      </c>
      <c r="C392" s="57">
        <v>1240000000</v>
      </c>
      <c r="D392" s="55"/>
      <c r="E392" s="56" t="s">
        <v>171</v>
      </c>
      <c r="F392" s="28">
        <f>F393</f>
        <v>1650</v>
      </c>
      <c r="G392" s="28">
        <f t="shared" si="136"/>
        <v>1650</v>
      </c>
      <c r="H392" s="28">
        <f t="shared" si="136"/>
        <v>1650</v>
      </c>
    </row>
    <row r="393" spans="1:8" ht="12.75">
      <c r="A393" s="55" t="s">
        <v>24</v>
      </c>
      <c r="B393" s="55" t="s">
        <v>59</v>
      </c>
      <c r="C393" s="55">
        <v>1240400000</v>
      </c>
      <c r="D393" s="55"/>
      <c r="E393" s="56" t="s">
        <v>264</v>
      </c>
      <c r="F393" s="28">
        <f>F394</f>
        <v>1650</v>
      </c>
      <c r="G393" s="28">
        <f t="shared" si="136"/>
        <v>1650</v>
      </c>
      <c r="H393" s="28">
        <f t="shared" si="136"/>
        <v>1650</v>
      </c>
    </row>
    <row r="394" spans="1:8" ht="47.25">
      <c r="A394" s="55" t="s">
        <v>24</v>
      </c>
      <c r="B394" s="55" t="s">
        <v>59</v>
      </c>
      <c r="C394" s="55">
        <v>1240420390</v>
      </c>
      <c r="D394" s="55"/>
      <c r="E394" s="56" t="s">
        <v>73</v>
      </c>
      <c r="F394" s="28">
        <f>F395+F397</f>
        <v>1650</v>
      </c>
      <c r="G394" s="28">
        <f aca="true" t="shared" si="137" ref="G394:H394">G395+G397</f>
        <v>1650</v>
      </c>
      <c r="H394" s="28">
        <f t="shared" si="137"/>
        <v>1650</v>
      </c>
    </row>
    <row r="395" spans="1:8" ht="31.5">
      <c r="A395" s="55" t="s">
        <v>24</v>
      </c>
      <c r="B395" s="55" t="s">
        <v>59</v>
      </c>
      <c r="C395" s="55">
        <v>1240420390</v>
      </c>
      <c r="D395" s="57" t="s">
        <v>75</v>
      </c>
      <c r="E395" s="56" t="s">
        <v>110</v>
      </c>
      <c r="F395" s="28">
        <f>F396</f>
        <v>48.1</v>
      </c>
      <c r="G395" s="28">
        <f aca="true" t="shared" si="138" ref="G395:H395">G396</f>
        <v>48.1</v>
      </c>
      <c r="H395" s="28">
        <f t="shared" si="138"/>
        <v>48.1</v>
      </c>
    </row>
    <row r="396" spans="1:8" ht="34.9" customHeight="1">
      <c r="A396" s="55" t="s">
        <v>24</v>
      </c>
      <c r="B396" s="55" t="s">
        <v>59</v>
      </c>
      <c r="C396" s="55">
        <v>1240420390</v>
      </c>
      <c r="D396" s="55">
        <v>240</v>
      </c>
      <c r="E396" s="199" t="s">
        <v>469</v>
      </c>
      <c r="F396" s="28">
        <v>48.1</v>
      </c>
      <c r="G396" s="28">
        <v>48.1</v>
      </c>
      <c r="H396" s="28">
        <v>48.1</v>
      </c>
    </row>
    <row r="397" spans="1:8" ht="12.75">
      <c r="A397" s="55" t="s">
        <v>24</v>
      </c>
      <c r="B397" s="55" t="s">
        <v>59</v>
      </c>
      <c r="C397" s="55">
        <v>1240420390</v>
      </c>
      <c r="D397" s="57" t="s">
        <v>79</v>
      </c>
      <c r="E397" s="56" t="s">
        <v>80</v>
      </c>
      <c r="F397" s="28">
        <f>F398</f>
        <v>1601.9</v>
      </c>
      <c r="G397" s="28">
        <f aca="true" t="shared" si="139" ref="G397:H397">G398</f>
        <v>1601.9</v>
      </c>
      <c r="H397" s="28">
        <f t="shared" si="139"/>
        <v>1601.9</v>
      </c>
    </row>
    <row r="398" spans="1:8" ht="12.75">
      <c r="A398" s="55" t="s">
        <v>24</v>
      </c>
      <c r="B398" s="55" t="s">
        <v>59</v>
      </c>
      <c r="C398" s="55">
        <v>1240420390</v>
      </c>
      <c r="D398" s="57" t="s">
        <v>187</v>
      </c>
      <c r="E398" s="56" t="s">
        <v>188</v>
      </c>
      <c r="F398" s="28">
        <v>1601.9</v>
      </c>
      <c r="G398" s="28">
        <v>1601.9</v>
      </c>
      <c r="H398" s="28">
        <v>1601.9</v>
      </c>
    </row>
    <row r="399" spans="1:8" ht="12.75">
      <c r="A399" s="55" t="s">
        <v>24</v>
      </c>
      <c r="B399" s="55" t="s">
        <v>45</v>
      </c>
      <c r="C399" s="55" t="s">
        <v>72</v>
      </c>
      <c r="D399" s="55" t="s">
        <v>72</v>
      </c>
      <c r="E399" s="56" t="s">
        <v>39</v>
      </c>
      <c r="F399" s="28">
        <f>F400</f>
        <v>10328.4</v>
      </c>
      <c r="G399" s="28">
        <f>G400</f>
        <v>2665.2000000000003</v>
      </c>
      <c r="H399" s="28">
        <f aca="true" t="shared" si="140" ref="G399:H402">H400</f>
        <v>2665.2000000000003</v>
      </c>
    </row>
    <row r="400" spans="1:8" ht="47.25">
      <c r="A400" s="55" t="s">
        <v>24</v>
      </c>
      <c r="B400" s="55" t="s">
        <v>45</v>
      </c>
      <c r="C400" s="57">
        <v>1200000000</v>
      </c>
      <c r="D400" s="55"/>
      <c r="E400" s="56" t="s">
        <v>242</v>
      </c>
      <c r="F400" s="28">
        <f>F401</f>
        <v>10328.4</v>
      </c>
      <c r="G400" s="28">
        <f t="shared" si="140"/>
        <v>2665.2000000000003</v>
      </c>
      <c r="H400" s="28">
        <f t="shared" si="140"/>
        <v>2665.2000000000003</v>
      </c>
    </row>
    <row r="401" spans="1:8" ht="31.5">
      <c r="A401" s="55" t="s">
        <v>24</v>
      </c>
      <c r="B401" s="55" t="s">
        <v>45</v>
      </c>
      <c r="C401" s="57">
        <v>1240000000</v>
      </c>
      <c r="D401" s="55"/>
      <c r="E401" s="56" t="s">
        <v>171</v>
      </c>
      <c r="F401" s="28">
        <f>F402+F406+F412</f>
        <v>10328.4</v>
      </c>
      <c r="G401" s="28">
        <f aca="true" t="shared" si="141" ref="G401:H401">G402+G406+G412</f>
        <v>2665.2000000000003</v>
      </c>
      <c r="H401" s="28">
        <f t="shared" si="141"/>
        <v>2665.2000000000003</v>
      </c>
    </row>
    <row r="402" spans="1:8" ht="31.5">
      <c r="A402" s="55" t="s">
        <v>24</v>
      </c>
      <c r="B402" s="55" t="s">
        <v>45</v>
      </c>
      <c r="C402" s="57">
        <v>1240100000</v>
      </c>
      <c r="D402" s="55"/>
      <c r="E402" s="56" t="s">
        <v>265</v>
      </c>
      <c r="F402" s="28">
        <f>F403</f>
        <v>408</v>
      </c>
      <c r="G402" s="28">
        <f t="shared" si="140"/>
        <v>408</v>
      </c>
      <c r="H402" s="28">
        <f t="shared" si="140"/>
        <v>408</v>
      </c>
    </row>
    <row r="403" spans="1:8" ht="31.5">
      <c r="A403" s="55" t="s">
        <v>24</v>
      </c>
      <c r="B403" s="55" t="s">
        <v>45</v>
      </c>
      <c r="C403" s="57">
        <v>1240120330</v>
      </c>
      <c r="D403" s="55"/>
      <c r="E403" s="56" t="s">
        <v>190</v>
      </c>
      <c r="F403" s="28">
        <f>F404</f>
        <v>408</v>
      </c>
      <c r="G403" s="28">
        <f aca="true" t="shared" si="142" ref="G403:H404">G404</f>
        <v>408</v>
      </c>
      <c r="H403" s="28">
        <f t="shared" si="142"/>
        <v>408</v>
      </c>
    </row>
    <row r="404" spans="1:8" ht="31.5">
      <c r="A404" s="55" t="s">
        <v>24</v>
      </c>
      <c r="B404" s="55" t="s">
        <v>45</v>
      </c>
      <c r="C404" s="57">
        <v>1240120330</v>
      </c>
      <c r="D404" s="57" t="s">
        <v>112</v>
      </c>
      <c r="E404" s="56" t="s">
        <v>113</v>
      </c>
      <c r="F404" s="28">
        <f>F405</f>
        <v>408</v>
      </c>
      <c r="G404" s="28">
        <f t="shared" si="142"/>
        <v>408</v>
      </c>
      <c r="H404" s="28">
        <f t="shared" si="142"/>
        <v>408</v>
      </c>
    </row>
    <row r="405" spans="1:8" ht="31.5">
      <c r="A405" s="55" t="s">
        <v>24</v>
      </c>
      <c r="B405" s="55" t="s">
        <v>45</v>
      </c>
      <c r="C405" s="57">
        <v>1240120330</v>
      </c>
      <c r="D405" s="55">
        <v>630</v>
      </c>
      <c r="E405" s="56" t="s">
        <v>191</v>
      </c>
      <c r="F405" s="28">
        <v>408</v>
      </c>
      <c r="G405" s="28">
        <v>408</v>
      </c>
      <c r="H405" s="28">
        <v>408</v>
      </c>
    </row>
    <row r="406" spans="1:8" ht="31.5">
      <c r="A406" s="55" t="s">
        <v>24</v>
      </c>
      <c r="B406" s="55" t="s">
        <v>45</v>
      </c>
      <c r="C406" s="57">
        <v>1240200000</v>
      </c>
      <c r="D406" s="55"/>
      <c r="E406" s="56" t="s">
        <v>192</v>
      </c>
      <c r="F406" s="28">
        <f>F407</f>
        <v>131.9</v>
      </c>
      <c r="G406" s="28">
        <f aca="true" t="shared" si="143" ref="G406:H406">G407</f>
        <v>131.9</v>
      </c>
      <c r="H406" s="28">
        <f t="shared" si="143"/>
        <v>131.9</v>
      </c>
    </row>
    <row r="407" spans="1:8" ht="31.5">
      <c r="A407" s="55" t="s">
        <v>24</v>
      </c>
      <c r="B407" s="55" t="s">
        <v>45</v>
      </c>
      <c r="C407" s="57">
        <v>1240220350</v>
      </c>
      <c r="D407" s="55"/>
      <c r="E407" s="56" t="s">
        <v>266</v>
      </c>
      <c r="F407" s="28">
        <f>F408+F410</f>
        <v>131.9</v>
      </c>
      <c r="G407" s="28">
        <f aca="true" t="shared" si="144" ref="G407:H407">G408+G410</f>
        <v>131.9</v>
      </c>
      <c r="H407" s="28">
        <f t="shared" si="144"/>
        <v>131.9</v>
      </c>
    </row>
    <row r="408" spans="1:8" ht="31.5">
      <c r="A408" s="55" t="s">
        <v>24</v>
      </c>
      <c r="B408" s="55" t="s">
        <v>45</v>
      </c>
      <c r="C408" s="57">
        <v>1240220350</v>
      </c>
      <c r="D408" s="57" t="s">
        <v>75</v>
      </c>
      <c r="E408" s="56" t="s">
        <v>110</v>
      </c>
      <c r="F408" s="28">
        <f>F409</f>
        <v>3.9</v>
      </c>
      <c r="G408" s="28">
        <f aca="true" t="shared" si="145" ref="G408:H408">G409</f>
        <v>3.9</v>
      </c>
      <c r="H408" s="28">
        <f t="shared" si="145"/>
        <v>3.9</v>
      </c>
    </row>
    <row r="409" spans="1:8" ht="30.6" customHeight="1">
      <c r="A409" s="55" t="s">
        <v>24</v>
      </c>
      <c r="B409" s="55" t="s">
        <v>45</v>
      </c>
      <c r="C409" s="57">
        <v>1240220350</v>
      </c>
      <c r="D409" s="55">
        <v>240</v>
      </c>
      <c r="E409" s="199" t="s">
        <v>469</v>
      </c>
      <c r="F409" s="28">
        <v>3.9</v>
      </c>
      <c r="G409" s="28">
        <v>3.9</v>
      </c>
      <c r="H409" s="28">
        <v>3.9</v>
      </c>
    </row>
    <row r="410" spans="1:8" ht="12.75">
      <c r="A410" s="55" t="s">
        <v>24</v>
      </c>
      <c r="B410" s="55" t="s">
        <v>45</v>
      </c>
      <c r="C410" s="57">
        <v>1240220350</v>
      </c>
      <c r="D410" s="55" t="s">
        <v>79</v>
      </c>
      <c r="E410" s="56" t="s">
        <v>80</v>
      </c>
      <c r="F410" s="28">
        <f>F411</f>
        <v>128</v>
      </c>
      <c r="G410" s="28">
        <f aca="true" t="shared" si="146" ref="G410:H410">G411</f>
        <v>128</v>
      </c>
      <c r="H410" s="28">
        <f t="shared" si="146"/>
        <v>128</v>
      </c>
    </row>
    <row r="411" spans="1:8" ht="12.75">
      <c r="A411" s="55" t="s">
        <v>24</v>
      </c>
      <c r="B411" s="55" t="s">
        <v>45</v>
      </c>
      <c r="C411" s="57">
        <v>1240220350</v>
      </c>
      <c r="D411" s="55" t="s">
        <v>187</v>
      </c>
      <c r="E411" s="56" t="s">
        <v>188</v>
      </c>
      <c r="F411" s="28">
        <v>128</v>
      </c>
      <c r="G411" s="28">
        <v>128</v>
      </c>
      <c r="H411" s="28">
        <v>128</v>
      </c>
    </row>
    <row r="412" spans="1:8" ht="12.75">
      <c r="A412" s="55" t="s">
        <v>24</v>
      </c>
      <c r="B412" s="55" t="s">
        <v>45</v>
      </c>
      <c r="C412" s="55">
        <v>1240400000</v>
      </c>
      <c r="D412" s="55"/>
      <c r="E412" s="56" t="s">
        <v>264</v>
      </c>
      <c r="F412" s="28">
        <f>F413+F416</f>
        <v>9788.5</v>
      </c>
      <c r="G412" s="28">
        <f aca="true" t="shared" si="147" ref="G412:H412">G413+G416</f>
        <v>2125.3</v>
      </c>
      <c r="H412" s="28">
        <f t="shared" si="147"/>
        <v>2125.3</v>
      </c>
    </row>
    <row r="413" spans="1:8" ht="31.5">
      <c r="A413" s="55" t="s">
        <v>24</v>
      </c>
      <c r="B413" s="55" t="s">
        <v>45</v>
      </c>
      <c r="C413" s="55">
        <v>1240420380</v>
      </c>
      <c r="D413" s="55"/>
      <c r="E413" s="56" t="s">
        <v>189</v>
      </c>
      <c r="F413" s="28">
        <f>F414</f>
        <v>217</v>
      </c>
      <c r="G413" s="28">
        <f aca="true" t="shared" si="148" ref="G413:H414">G414</f>
        <v>217</v>
      </c>
      <c r="H413" s="28">
        <f t="shared" si="148"/>
        <v>217</v>
      </c>
    </row>
    <row r="414" spans="1:8" ht="12.75">
      <c r="A414" s="55" t="s">
        <v>24</v>
      </c>
      <c r="B414" s="55" t="s">
        <v>45</v>
      </c>
      <c r="C414" s="55">
        <v>1240420380</v>
      </c>
      <c r="D414" s="57" t="s">
        <v>79</v>
      </c>
      <c r="E414" s="56" t="s">
        <v>80</v>
      </c>
      <c r="F414" s="28">
        <f>F415</f>
        <v>217</v>
      </c>
      <c r="G414" s="28">
        <f t="shared" si="148"/>
        <v>217</v>
      </c>
      <c r="H414" s="28">
        <f t="shared" si="148"/>
        <v>217</v>
      </c>
    </row>
    <row r="415" spans="1:8" ht="31.5">
      <c r="A415" s="55" t="s">
        <v>24</v>
      </c>
      <c r="B415" s="55" t="s">
        <v>45</v>
      </c>
      <c r="C415" s="55">
        <v>1240420380</v>
      </c>
      <c r="D415" s="57" t="s">
        <v>127</v>
      </c>
      <c r="E415" s="56" t="s">
        <v>128</v>
      </c>
      <c r="F415" s="28">
        <v>217</v>
      </c>
      <c r="G415" s="28">
        <v>217</v>
      </c>
      <c r="H415" s="28">
        <v>217</v>
      </c>
    </row>
    <row r="416" spans="1:8" ht="12.75">
      <c r="A416" s="68" t="s">
        <v>24</v>
      </c>
      <c r="B416" s="68" t="s">
        <v>45</v>
      </c>
      <c r="C416" s="68" t="s">
        <v>357</v>
      </c>
      <c r="D416" s="68"/>
      <c r="E416" s="168" t="s">
        <v>356</v>
      </c>
      <c r="F416" s="28">
        <f aca="true" t="shared" si="149" ref="F416:H417">F417</f>
        <v>9571.5</v>
      </c>
      <c r="G416" s="28">
        <f t="shared" si="149"/>
        <v>1908.3</v>
      </c>
      <c r="H416" s="28">
        <f t="shared" si="149"/>
        <v>1908.3</v>
      </c>
    </row>
    <row r="417" spans="1:8" ht="12.75">
      <c r="A417" s="68" t="s">
        <v>24</v>
      </c>
      <c r="B417" s="68" t="s">
        <v>45</v>
      </c>
      <c r="C417" s="68" t="s">
        <v>357</v>
      </c>
      <c r="D417" s="1" t="s">
        <v>79</v>
      </c>
      <c r="E417" s="37" t="s">
        <v>80</v>
      </c>
      <c r="F417" s="28">
        <f t="shared" si="149"/>
        <v>9571.5</v>
      </c>
      <c r="G417" s="28">
        <f t="shared" si="149"/>
        <v>1908.3</v>
      </c>
      <c r="H417" s="28">
        <f t="shared" si="149"/>
        <v>1908.3</v>
      </c>
    </row>
    <row r="418" spans="1:8" ht="31.5">
      <c r="A418" s="68" t="s">
        <v>24</v>
      </c>
      <c r="B418" s="68" t="s">
        <v>45</v>
      </c>
      <c r="C418" s="68" t="s">
        <v>357</v>
      </c>
      <c r="D418" s="1" t="s">
        <v>127</v>
      </c>
      <c r="E418" s="37" t="s">
        <v>128</v>
      </c>
      <c r="F418" s="28">
        <f>7666.3+1870.8+34.4</f>
        <v>9571.5</v>
      </c>
      <c r="G418" s="28">
        <v>1908.3</v>
      </c>
      <c r="H418" s="28">
        <v>1908.3</v>
      </c>
    </row>
    <row r="419" spans="1:8" ht="12.75">
      <c r="A419" s="55" t="s">
        <v>24</v>
      </c>
      <c r="B419" s="55" t="s">
        <v>67</v>
      </c>
      <c r="C419" s="55" t="s">
        <v>72</v>
      </c>
      <c r="D419" s="55" t="s">
        <v>72</v>
      </c>
      <c r="E419" s="56" t="s">
        <v>35</v>
      </c>
      <c r="F419" s="28">
        <f>F420</f>
        <v>8804.2</v>
      </c>
      <c r="G419" s="28">
        <f aca="true" t="shared" si="150" ref="G419:H419">G420</f>
        <v>11745.399999999998</v>
      </c>
      <c r="H419" s="28">
        <f t="shared" si="150"/>
        <v>11745.399999999998</v>
      </c>
    </row>
    <row r="420" spans="1:8" ht="12.75">
      <c r="A420" s="55" t="s">
        <v>24</v>
      </c>
      <c r="B420" s="55" t="s">
        <v>93</v>
      </c>
      <c r="C420" s="55" t="s">
        <v>72</v>
      </c>
      <c r="D420" s="55" t="s">
        <v>72</v>
      </c>
      <c r="E420" s="56" t="s">
        <v>68</v>
      </c>
      <c r="F420" s="28">
        <f>F421</f>
        <v>8804.2</v>
      </c>
      <c r="G420" s="28">
        <f aca="true" t="shared" si="151" ref="G420:H421">G421</f>
        <v>11745.399999999998</v>
      </c>
      <c r="H420" s="28">
        <f t="shared" si="151"/>
        <v>11745.399999999998</v>
      </c>
    </row>
    <row r="421" spans="1:8" ht="47.25">
      <c r="A421" s="55" t="s">
        <v>24</v>
      </c>
      <c r="B421" s="55" t="s">
        <v>93</v>
      </c>
      <c r="C421" s="57">
        <v>1200000000</v>
      </c>
      <c r="D421" s="55"/>
      <c r="E421" s="56" t="s">
        <v>242</v>
      </c>
      <c r="F421" s="28">
        <f>F422</f>
        <v>8804.2</v>
      </c>
      <c r="G421" s="28">
        <f t="shared" si="151"/>
        <v>11745.399999999998</v>
      </c>
      <c r="H421" s="28">
        <f t="shared" si="151"/>
        <v>11745.399999999998</v>
      </c>
    </row>
    <row r="422" spans="1:8" ht="12.75">
      <c r="A422" s="55" t="s">
        <v>24</v>
      </c>
      <c r="B422" s="55" t="s">
        <v>93</v>
      </c>
      <c r="C422" s="55">
        <v>1230000000</v>
      </c>
      <c r="D422" s="55"/>
      <c r="E422" s="56" t="s">
        <v>268</v>
      </c>
      <c r="F422" s="28">
        <f>F423+F433+F447+F437</f>
        <v>8804.2</v>
      </c>
      <c r="G422" s="28">
        <f>G423+G433+G447+G437</f>
        <v>11745.399999999998</v>
      </c>
      <c r="H422" s="28">
        <f>H423+H433+H447+H437</f>
        <v>11745.399999999998</v>
      </c>
    </row>
    <row r="423" spans="1:8" ht="36.75" customHeight="1">
      <c r="A423" s="55" t="s">
        <v>24</v>
      </c>
      <c r="B423" s="55" t="s">
        <v>93</v>
      </c>
      <c r="C423" s="55">
        <v>1230100000</v>
      </c>
      <c r="D423" s="55"/>
      <c r="E423" s="56" t="s">
        <v>269</v>
      </c>
      <c r="F423" s="28">
        <f>F427+F424+F430</f>
        <v>7229.7</v>
      </c>
      <c r="G423" s="28">
        <f aca="true" t="shared" si="152" ref="G423:H423">G427+G424+G430</f>
        <v>10288.3</v>
      </c>
      <c r="H423" s="28">
        <f t="shared" si="152"/>
        <v>10288.3</v>
      </c>
    </row>
    <row r="424" spans="1:8" ht="53.25" customHeight="1">
      <c r="A424" s="84" t="s">
        <v>24</v>
      </c>
      <c r="B424" s="3" t="s">
        <v>93</v>
      </c>
      <c r="C424" s="84">
        <v>1230110200</v>
      </c>
      <c r="D424" s="84"/>
      <c r="E424" s="9" t="s">
        <v>366</v>
      </c>
      <c r="F424" s="28">
        <f>F425</f>
        <v>325.4</v>
      </c>
      <c r="G424" s="28">
        <f aca="true" t="shared" si="153" ref="G424:H425">G425</f>
        <v>0</v>
      </c>
      <c r="H424" s="28">
        <f t="shared" si="153"/>
        <v>0</v>
      </c>
    </row>
    <row r="425" spans="1:8" ht="31.5">
      <c r="A425" s="84" t="s">
        <v>24</v>
      </c>
      <c r="B425" s="3" t="s">
        <v>93</v>
      </c>
      <c r="C425" s="84">
        <v>1230110200</v>
      </c>
      <c r="D425" s="86" t="s">
        <v>112</v>
      </c>
      <c r="E425" s="85" t="s">
        <v>113</v>
      </c>
      <c r="F425" s="28">
        <f>F426</f>
        <v>325.4</v>
      </c>
      <c r="G425" s="28">
        <f t="shared" si="153"/>
        <v>0</v>
      </c>
      <c r="H425" s="28">
        <f t="shared" si="153"/>
        <v>0</v>
      </c>
    </row>
    <row r="426" spans="1:8" ht="12.75">
      <c r="A426" s="84" t="s">
        <v>24</v>
      </c>
      <c r="B426" s="84" t="s">
        <v>93</v>
      </c>
      <c r="C426" s="84">
        <v>1230110200</v>
      </c>
      <c r="D426" s="84">
        <v>610</v>
      </c>
      <c r="E426" s="85" t="s">
        <v>130</v>
      </c>
      <c r="F426" s="28">
        <f>301.9+23.5</f>
        <v>325.4</v>
      </c>
      <c r="G426" s="28">
        <v>0</v>
      </c>
      <c r="H426" s="28">
        <v>0</v>
      </c>
    </row>
    <row r="427" spans="1:8" ht="31.5">
      <c r="A427" s="55" t="s">
        <v>24</v>
      </c>
      <c r="B427" s="3" t="s">
        <v>93</v>
      </c>
      <c r="C427" s="55">
        <v>1230120010</v>
      </c>
      <c r="D427" s="55"/>
      <c r="E427" s="56" t="s">
        <v>151</v>
      </c>
      <c r="F427" s="28">
        <f>F428</f>
        <v>6871.8</v>
      </c>
      <c r="G427" s="28">
        <f aca="true" t="shared" si="154" ref="G427:H428">G428</f>
        <v>10288.3</v>
      </c>
      <c r="H427" s="28">
        <f t="shared" si="154"/>
        <v>10288.3</v>
      </c>
    </row>
    <row r="428" spans="1:8" ht="31.5">
      <c r="A428" s="55" t="s">
        <v>24</v>
      </c>
      <c r="B428" s="3" t="s">
        <v>93</v>
      </c>
      <c r="C428" s="55">
        <v>1230120010</v>
      </c>
      <c r="D428" s="57" t="s">
        <v>112</v>
      </c>
      <c r="E428" s="56" t="s">
        <v>113</v>
      </c>
      <c r="F428" s="28">
        <f>F429</f>
        <v>6871.8</v>
      </c>
      <c r="G428" s="28">
        <f t="shared" si="154"/>
        <v>10288.3</v>
      </c>
      <c r="H428" s="28">
        <f t="shared" si="154"/>
        <v>10288.3</v>
      </c>
    </row>
    <row r="429" spans="1:8" ht="12.75">
      <c r="A429" s="55" t="s">
        <v>24</v>
      </c>
      <c r="B429" s="55" t="s">
        <v>93</v>
      </c>
      <c r="C429" s="55">
        <v>1230120010</v>
      </c>
      <c r="D429" s="55">
        <v>610</v>
      </c>
      <c r="E429" s="56" t="s">
        <v>130</v>
      </c>
      <c r="F429" s="28">
        <f>6874.1-2.3</f>
        <v>6871.8</v>
      </c>
      <c r="G429" s="28">
        <f>9941.9+346.4</f>
        <v>10288.3</v>
      </c>
      <c r="H429" s="28">
        <f>9941.9+346.4</f>
        <v>10288.3</v>
      </c>
    </row>
    <row r="430" spans="1:8" ht="48.75" customHeight="1">
      <c r="A430" s="87" t="s">
        <v>24</v>
      </c>
      <c r="B430" s="3" t="s">
        <v>93</v>
      </c>
      <c r="C430" s="87" t="s">
        <v>372</v>
      </c>
      <c r="D430" s="87"/>
      <c r="E430" s="9" t="s">
        <v>371</v>
      </c>
      <c r="F430" s="28">
        <f>F431</f>
        <v>32.5</v>
      </c>
      <c r="G430" s="28">
        <f aca="true" t="shared" si="155" ref="G430:H431">G431</f>
        <v>0</v>
      </c>
      <c r="H430" s="28">
        <f t="shared" si="155"/>
        <v>0</v>
      </c>
    </row>
    <row r="431" spans="1:8" ht="31.5">
      <c r="A431" s="87" t="s">
        <v>24</v>
      </c>
      <c r="B431" s="3" t="s">
        <v>93</v>
      </c>
      <c r="C431" s="87" t="s">
        <v>372</v>
      </c>
      <c r="D431" s="89" t="s">
        <v>112</v>
      </c>
      <c r="E431" s="88" t="s">
        <v>113</v>
      </c>
      <c r="F431" s="28">
        <f>F432</f>
        <v>32.5</v>
      </c>
      <c r="G431" s="28">
        <f t="shared" si="155"/>
        <v>0</v>
      </c>
      <c r="H431" s="28">
        <f t="shared" si="155"/>
        <v>0</v>
      </c>
    </row>
    <row r="432" spans="1:8" ht="12.75">
      <c r="A432" s="87" t="s">
        <v>24</v>
      </c>
      <c r="B432" s="87" t="s">
        <v>93</v>
      </c>
      <c r="C432" s="87" t="s">
        <v>372</v>
      </c>
      <c r="D432" s="87">
        <v>610</v>
      </c>
      <c r="E432" s="88" t="s">
        <v>130</v>
      </c>
      <c r="F432" s="28">
        <f>30.2+2.3</f>
        <v>32.5</v>
      </c>
      <c r="G432" s="28">
        <v>0</v>
      </c>
      <c r="H432" s="28">
        <v>0</v>
      </c>
    </row>
    <row r="433" spans="1:8" ht="63">
      <c r="A433" s="55" t="s">
        <v>24</v>
      </c>
      <c r="B433" s="55" t="s">
        <v>93</v>
      </c>
      <c r="C433" s="55">
        <v>1230200000</v>
      </c>
      <c r="D433" s="55"/>
      <c r="E433" s="56" t="s">
        <v>270</v>
      </c>
      <c r="F433" s="28">
        <f>F434</f>
        <v>199.8</v>
      </c>
      <c r="G433" s="28">
        <f aca="true" t="shared" si="156" ref="G433:H435">G434</f>
        <v>254.9</v>
      </c>
      <c r="H433" s="28">
        <f t="shared" si="156"/>
        <v>254.9</v>
      </c>
    </row>
    <row r="434" spans="1:8" ht="12.75">
      <c r="A434" s="55" t="s">
        <v>24</v>
      </c>
      <c r="B434" s="55" t="s">
        <v>93</v>
      </c>
      <c r="C434" s="55">
        <v>1230220040</v>
      </c>
      <c r="D434" s="55"/>
      <c r="E434" s="56" t="s">
        <v>271</v>
      </c>
      <c r="F434" s="28">
        <f>F435</f>
        <v>199.8</v>
      </c>
      <c r="G434" s="28">
        <f t="shared" si="156"/>
        <v>254.9</v>
      </c>
      <c r="H434" s="28">
        <f t="shared" si="156"/>
        <v>254.9</v>
      </c>
    </row>
    <row r="435" spans="1:8" ht="31.5">
      <c r="A435" s="55" t="s">
        <v>24</v>
      </c>
      <c r="B435" s="55" t="s">
        <v>93</v>
      </c>
      <c r="C435" s="55">
        <v>1230220040</v>
      </c>
      <c r="D435" s="57" t="s">
        <v>112</v>
      </c>
      <c r="E435" s="56" t="s">
        <v>113</v>
      </c>
      <c r="F435" s="28">
        <f>F436</f>
        <v>199.8</v>
      </c>
      <c r="G435" s="28">
        <f t="shared" si="156"/>
        <v>254.9</v>
      </c>
      <c r="H435" s="28">
        <f t="shared" si="156"/>
        <v>254.9</v>
      </c>
    </row>
    <row r="436" spans="1:8" ht="12.75">
      <c r="A436" s="55" t="s">
        <v>24</v>
      </c>
      <c r="B436" s="55" t="s">
        <v>93</v>
      </c>
      <c r="C436" s="55">
        <v>1230220040</v>
      </c>
      <c r="D436" s="55">
        <v>610</v>
      </c>
      <c r="E436" s="56" t="s">
        <v>130</v>
      </c>
      <c r="F436" s="28">
        <v>199.8</v>
      </c>
      <c r="G436" s="28">
        <v>254.9</v>
      </c>
      <c r="H436" s="28">
        <v>254.9</v>
      </c>
    </row>
    <row r="437" spans="1:8" ht="12.75">
      <c r="A437" s="84" t="s">
        <v>24</v>
      </c>
      <c r="B437" s="84" t="s">
        <v>93</v>
      </c>
      <c r="C437" s="84">
        <v>1230500000</v>
      </c>
      <c r="D437" s="84"/>
      <c r="E437" s="85" t="s">
        <v>331</v>
      </c>
      <c r="F437" s="28">
        <f>F438+F444+F441</f>
        <v>621.6</v>
      </c>
      <c r="G437" s="28">
        <f>G438+G444+G441</f>
        <v>0</v>
      </c>
      <c r="H437" s="28">
        <f>H438+H444+H441</f>
        <v>0</v>
      </c>
    </row>
    <row r="438" spans="1:8" ht="47.25">
      <c r="A438" s="84" t="s">
        <v>24</v>
      </c>
      <c r="B438" s="84" t="s">
        <v>93</v>
      </c>
      <c r="C438" s="84">
        <v>1230510400</v>
      </c>
      <c r="D438" s="84"/>
      <c r="E438" s="85" t="s">
        <v>360</v>
      </c>
      <c r="F438" s="28">
        <f>F439</f>
        <v>459</v>
      </c>
      <c r="G438" s="28">
        <f aca="true" t="shared" si="157" ref="G438:H439">G439</f>
        <v>0</v>
      </c>
      <c r="H438" s="28">
        <f t="shared" si="157"/>
        <v>0</v>
      </c>
    </row>
    <row r="439" spans="1:8" ht="31.5">
      <c r="A439" s="84" t="s">
        <v>24</v>
      </c>
      <c r="B439" s="84" t="s">
        <v>93</v>
      </c>
      <c r="C439" s="84">
        <v>1230510400</v>
      </c>
      <c r="D439" s="86" t="s">
        <v>75</v>
      </c>
      <c r="E439" s="85" t="s">
        <v>110</v>
      </c>
      <c r="F439" s="28">
        <f>F440</f>
        <v>459</v>
      </c>
      <c r="G439" s="28">
        <f t="shared" si="157"/>
        <v>0</v>
      </c>
      <c r="H439" s="28">
        <f t="shared" si="157"/>
        <v>0</v>
      </c>
    </row>
    <row r="440" spans="1:8" ht="35.45" customHeight="1">
      <c r="A440" s="84" t="s">
        <v>24</v>
      </c>
      <c r="B440" s="84" t="s">
        <v>93</v>
      </c>
      <c r="C440" s="84">
        <v>1230510400</v>
      </c>
      <c r="D440" s="84">
        <v>240</v>
      </c>
      <c r="E440" s="199" t="s">
        <v>469</v>
      </c>
      <c r="F440" s="28">
        <f>280+179</f>
        <v>459</v>
      </c>
      <c r="G440" s="28">
        <v>0</v>
      </c>
      <c r="H440" s="28">
        <v>0</v>
      </c>
    </row>
    <row r="441" spans="1:8" ht="35.45" customHeight="1">
      <c r="A441" s="167" t="s">
        <v>24</v>
      </c>
      <c r="B441" s="167" t="s">
        <v>93</v>
      </c>
      <c r="C441" s="167">
        <v>1230520300</v>
      </c>
      <c r="D441" s="167"/>
      <c r="E441" s="168" t="s">
        <v>437</v>
      </c>
      <c r="F441" s="28">
        <f>F442</f>
        <v>54.6</v>
      </c>
      <c r="G441" s="28">
        <f aca="true" t="shared" si="158" ref="G441:H442">G442</f>
        <v>0</v>
      </c>
      <c r="H441" s="28">
        <f t="shared" si="158"/>
        <v>0</v>
      </c>
    </row>
    <row r="442" spans="1:8" ht="35.45" customHeight="1">
      <c r="A442" s="167" t="s">
        <v>24</v>
      </c>
      <c r="B442" s="167" t="s">
        <v>93</v>
      </c>
      <c r="C442" s="167">
        <v>1230520300</v>
      </c>
      <c r="D442" s="169" t="s">
        <v>78</v>
      </c>
      <c r="E442" s="168" t="s">
        <v>111</v>
      </c>
      <c r="F442" s="28">
        <f>F443</f>
        <v>54.6</v>
      </c>
      <c r="G442" s="28">
        <f t="shared" si="158"/>
        <v>0</v>
      </c>
      <c r="H442" s="28">
        <f t="shared" si="158"/>
        <v>0</v>
      </c>
    </row>
    <row r="443" spans="1:8" ht="15.75" customHeight="1">
      <c r="A443" s="167" t="s">
        <v>24</v>
      </c>
      <c r="B443" s="167" t="s">
        <v>93</v>
      </c>
      <c r="C443" s="167">
        <v>1230520300</v>
      </c>
      <c r="D443" s="169" t="s">
        <v>147</v>
      </c>
      <c r="E443" s="168" t="s">
        <v>148</v>
      </c>
      <c r="F443" s="28">
        <v>54.6</v>
      </c>
      <c r="G443" s="28">
        <v>0</v>
      </c>
      <c r="H443" s="28">
        <v>0</v>
      </c>
    </row>
    <row r="444" spans="1:8" ht="47.25">
      <c r="A444" s="84" t="s">
        <v>24</v>
      </c>
      <c r="B444" s="84" t="s">
        <v>93</v>
      </c>
      <c r="C444" s="84" t="s">
        <v>332</v>
      </c>
      <c r="D444" s="84"/>
      <c r="E444" s="90" t="s">
        <v>333</v>
      </c>
      <c r="F444" s="28">
        <f>F445</f>
        <v>108</v>
      </c>
      <c r="G444" s="28">
        <f aca="true" t="shared" si="159" ref="G444:H445">G445</f>
        <v>0</v>
      </c>
      <c r="H444" s="28">
        <f t="shared" si="159"/>
        <v>0</v>
      </c>
    </row>
    <row r="445" spans="1:8" ht="31.5">
      <c r="A445" s="84" t="s">
        <v>24</v>
      </c>
      <c r="B445" s="84" t="s">
        <v>93</v>
      </c>
      <c r="C445" s="84" t="s">
        <v>332</v>
      </c>
      <c r="D445" s="86" t="s">
        <v>75</v>
      </c>
      <c r="E445" s="85" t="s">
        <v>110</v>
      </c>
      <c r="F445" s="28">
        <f>F446</f>
        <v>108</v>
      </c>
      <c r="G445" s="28">
        <f t="shared" si="159"/>
        <v>0</v>
      </c>
      <c r="H445" s="28">
        <f t="shared" si="159"/>
        <v>0</v>
      </c>
    </row>
    <row r="446" spans="1:8" ht="31.15" customHeight="1">
      <c r="A446" s="84" t="s">
        <v>24</v>
      </c>
      <c r="B446" s="84" t="s">
        <v>93</v>
      </c>
      <c r="C446" s="84" t="s">
        <v>332</v>
      </c>
      <c r="D446" s="84">
        <v>240</v>
      </c>
      <c r="E446" s="199" t="s">
        <v>469</v>
      </c>
      <c r="F446" s="28">
        <f>794.6-493.6-104-89</f>
        <v>108</v>
      </c>
      <c r="G446" s="28">
        <v>0</v>
      </c>
      <c r="H446" s="28">
        <v>0</v>
      </c>
    </row>
    <row r="447" spans="1:8" ht="31.5">
      <c r="A447" s="55" t="s">
        <v>24</v>
      </c>
      <c r="B447" s="55" t="s">
        <v>93</v>
      </c>
      <c r="C447" s="55">
        <v>1230600000</v>
      </c>
      <c r="D447" s="55"/>
      <c r="E447" s="56" t="s">
        <v>272</v>
      </c>
      <c r="F447" s="28">
        <f>F448+F455+F458</f>
        <v>753.1</v>
      </c>
      <c r="G447" s="28">
        <f aca="true" t="shared" si="160" ref="G447:H447">G448+G455+G458</f>
        <v>1202.1999999999998</v>
      </c>
      <c r="H447" s="28">
        <f t="shared" si="160"/>
        <v>1202.1999999999998</v>
      </c>
    </row>
    <row r="448" spans="1:8" ht="31.5">
      <c r="A448" s="55" t="s">
        <v>24</v>
      </c>
      <c r="B448" s="55" t="s">
        <v>93</v>
      </c>
      <c r="C448" s="55">
        <v>1230620300</v>
      </c>
      <c r="D448" s="55"/>
      <c r="E448" s="56" t="s">
        <v>273</v>
      </c>
      <c r="F448" s="28">
        <f>F449+F451+F453</f>
        <v>305.5</v>
      </c>
      <c r="G448" s="28">
        <f aca="true" t="shared" si="161" ref="G448:H448">G449+G451+G453</f>
        <v>459</v>
      </c>
      <c r="H448" s="28">
        <f t="shared" si="161"/>
        <v>459</v>
      </c>
    </row>
    <row r="449" spans="1:8" ht="63">
      <c r="A449" s="55" t="s">
        <v>24</v>
      </c>
      <c r="B449" s="55" t="s">
        <v>93</v>
      </c>
      <c r="C449" s="55">
        <v>1230620300</v>
      </c>
      <c r="D449" s="57" t="s">
        <v>74</v>
      </c>
      <c r="E449" s="56" t="s">
        <v>2</v>
      </c>
      <c r="F449" s="28">
        <f>F450</f>
        <v>86.2</v>
      </c>
      <c r="G449" s="28">
        <f aca="true" t="shared" si="162" ref="G449:H449">G450</f>
        <v>161.3</v>
      </c>
      <c r="H449" s="28">
        <f t="shared" si="162"/>
        <v>161.3</v>
      </c>
    </row>
    <row r="450" spans="1:8" ht="33" customHeight="1">
      <c r="A450" s="55" t="s">
        <v>24</v>
      </c>
      <c r="B450" s="55" t="s">
        <v>93</v>
      </c>
      <c r="C450" s="55">
        <v>1230620300</v>
      </c>
      <c r="D450" s="55">
        <v>120</v>
      </c>
      <c r="E450" s="56" t="s">
        <v>124</v>
      </c>
      <c r="F450" s="28">
        <v>86.2</v>
      </c>
      <c r="G450" s="28">
        <v>161.3</v>
      </c>
      <c r="H450" s="28">
        <v>161.3</v>
      </c>
    </row>
    <row r="451" spans="1:8" ht="31.5">
      <c r="A451" s="55" t="s">
        <v>24</v>
      </c>
      <c r="B451" s="55" t="s">
        <v>93</v>
      </c>
      <c r="C451" s="55">
        <v>1230620300</v>
      </c>
      <c r="D451" s="57" t="s">
        <v>75</v>
      </c>
      <c r="E451" s="56" t="s">
        <v>110</v>
      </c>
      <c r="F451" s="28">
        <f>F452</f>
        <v>115.8</v>
      </c>
      <c r="G451" s="28">
        <f aca="true" t="shared" si="163" ref="G451:H451">G452</f>
        <v>194.2</v>
      </c>
      <c r="H451" s="28">
        <f t="shared" si="163"/>
        <v>194.2</v>
      </c>
    </row>
    <row r="452" spans="1:8" ht="31.15" customHeight="1">
      <c r="A452" s="55" t="s">
        <v>24</v>
      </c>
      <c r="B452" s="55" t="s">
        <v>93</v>
      </c>
      <c r="C452" s="55">
        <v>1230620300</v>
      </c>
      <c r="D452" s="55">
        <v>240</v>
      </c>
      <c r="E452" s="199" t="s">
        <v>469</v>
      </c>
      <c r="F452" s="28">
        <v>115.8</v>
      </c>
      <c r="G452" s="28">
        <v>194.2</v>
      </c>
      <c r="H452" s="28">
        <v>194.2</v>
      </c>
    </row>
    <row r="453" spans="1:8" ht="12.75">
      <c r="A453" s="55" t="s">
        <v>24</v>
      </c>
      <c r="B453" s="55" t="s">
        <v>93</v>
      </c>
      <c r="C453" s="55">
        <v>1230620300</v>
      </c>
      <c r="D453" s="55" t="s">
        <v>76</v>
      </c>
      <c r="E453" s="56" t="s">
        <v>77</v>
      </c>
      <c r="F453" s="28">
        <f>F454</f>
        <v>103.5</v>
      </c>
      <c r="G453" s="28">
        <f aca="true" t="shared" si="164" ref="G453:H453">G454</f>
        <v>103.5</v>
      </c>
      <c r="H453" s="28">
        <f t="shared" si="164"/>
        <v>103.5</v>
      </c>
    </row>
    <row r="454" spans="1:8" ht="12.75">
      <c r="A454" s="55" t="s">
        <v>24</v>
      </c>
      <c r="B454" s="55" t="s">
        <v>93</v>
      </c>
      <c r="C454" s="55">
        <v>1230620300</v>
      </c>
      <c r="D454" s="55">
        <v>850</v>
      </c>
      <c r="E454" s="56" t="s">
        <v>126</v>
      </c>
      <c r="F454" s="28">
        <v>103.5</v>
      </c>
      <c r="G454" s="28">
        <v>103.5</v>
      </c>
      <c r="H454" s="28">
        <v>103.5</v>
      </c>
    </row>
    <row r="455" spans="1:8" ht="31.5">
      <c r="A455" s="55" t="s">
        <v>24</v>
      </c>
      <c r="B455" s="55" t="s">
        <v>93</v>
      </c>
      <c r="C455" s="55">
        <v>1230620310</v>
      </c>
      <c r="D455" s="55"/>
      <c r="E455" s="56" t="s">
        <v>274</v>
      </c>
      <c r="F455" s="28">
        <f>F456</f>
        <v>23.9</v>
      </c>
      <c r="G455" s="28">
        <f aca="true" t="shared" si="165" ref="G455:H456">G456</f>
        <v>55.3</v>
      </c>
      <c r="H455" s="28">
        <f t="shared" si="165"/>
        <v>55.3</v>
      </c>
    </row>
    <row r="456" spans="1:8" ht="31.5">
      <c r="A456" s="55" t="s">
        <v>24</v>
      </c>
      <c r="B456" s="55" t="s">
        <v>93</v>
      </c>
      <c r="C456" s="55">
        <v>1230620310</v>
      </c>
      <c r="D456" s="57" t="s">
        <v>75</v>
      </c>
      <c r="E456" s="56" t="s">
        <v>110</v>
      </c>
      <c r="F456" s="28">
        <f>F457</f>
        <v>23.9</v>
      </c>
      <c r="G456" s="28">
        <f t="shared" si="165"/>
        <v>55.3</v>
      </c>
      <c r="H456" s="28">
        <f t="shared" si="165"/>
        <v>55.3</v>
      </c>
    </row>
    <row r="457" spans="1:8" ht="31.15" customHeight="1">
      <c r="A457" s="55" t="s">
        <v>24</v>
      </c>
      <c r="B457" s="55" t="s">
        <v>93</v>
      </c>
      <c r="C457" s="55">
        <v>1230620310</v>
      </c>
      <c r="D457" s="55">
        <v>240</v>
      </c>
      <c r="E457" s="199" t="s">
        <v>469</v>
      </c>
      <c r="F457" s="28">
        <v>23.9</v>
      </c>
      <c r="G457" s="28">
        <v>55.3</v>
      </c>
      <c r="H457" s="28">
        <v>55.3</v>
      </c>
    </row>
    <row r="458" spans="1:8" ht="12.75">
      <c r="A458" s="55" t="s">
        <v>24</v>
      </c>
      <c r="B458" s="55" t="s">
        <v>93</v>
      </c>
      <c r="C458" s="55">
        <v>1230620320</v>
      </c>
      <c r="D458" s="55"/>
      <c r="E458" s="56" t="s">
        <v>186</v>
      </c>
      <c r="F458" s="28">
        <f>F459+F461+F463</f>
        <v>423.70000000000005</v>
      </c>
      <c r="G458" s="28">
        <f aca="true" t="shared" si="166" ref="G458:H458">G459+G461+G463</f>
        <v>687.9</v>
      </c>
      <c r="H458" s="28">
        <f t="shared" si="166"/>
        <v>687.9</v>
      </c>
    </row>
    <row r="459" spans="1:8" ht="63">
      <c r="A459" s="55" t="s">
        <v>24</v>
      </c>
      <c r="B459" s="55" t="s">
        <v>93</v>
      </c>
      <c r="C459" s="55">
        <v>1230620320</v>
      </c>
      <c r="D459" s="57" t="s">
        <v>74</v>
      </c>
      <c r="E459" s="56" t="s">
        <v>2</v>
      </c>
      <c r="F459" s="28">
        <f>F460</f>
        <v>205.7</v>
      </c>
      <c r="G459" s="28">
        <f aca="true" t="shared" si="167" ref="G459:H459">G460</f>
        <v>408.7</v>
      </c>
      <c r="H459" s="28">
        <f t="shared" si="167"/>
        <v>408.7</v>
      </c>
    </row>
    <row r="460" spans="1:8" ht="33" customHeight="1">
      <c r="A460" s="55" t="s">
        <v>24</v>
      </c>
      <c r="B460" s="55" t="s">
        <v>93</v>
      </c>
      <c r="C460" s="55">
        <v>1230620320</v>
      </c>
      <c r="D460" s="55">
        <v>120</v>
      </c>
      <c r="E460" s="56" t="s">
        <v>471</v>
      </c>
      <c r="F460" s="28">
        <v>205.7</v>
      </c>
      <c r="G460" s="28">
        <v>408.7</v>
      </c>
      <c r="H460" s="28">
        <v>408.7</v>
      </c>
    </row>
    <row r="461" spans="1:8" ht="31.5">
      <c r="A461" s="55" t="s">
        <v>24</v>
      </c>
      <c r="B461" s="55" t="s">
        <v>93</v>
      </c>
      <c r="C461" s="55">
        <v>1230620320</v>
      </c>
      <c r="D461" s="57" t="s">
        <v>75</v>
      </c>
      <c r="E461" s="56" t="s">
        <v>110</v>
      </c>
      <c r="F461" s="28">
        <f>F462</f>
        <v>137.4</v>
      </c>
      <c r="G461" s="28">
        <f aca="true" t="shared" si="168" ref="G461:H461">G462</f>
        <v>240.2</v>
      </c>
      <c r="H461" s="28">
        <f t="shared" si="168"/>
        <v>240.2</v>
      </c>
    </row>
    <row r="462" spans="1:8" ht="33" customHeight="1">
      <c r="A462" s="55" t="s">
        <v>24</v>
      </c>
      <c r="B462" s="55" t="s">
        <v>93</v>
      </c>
      <c r="C462" s="55">
        <v>1230620320</v>
      </c>
      <c r="D462" s="55">
        <v>240</v>
      </c>
      <c r="E462" s="199" t="s">
        <v>469</v>
      </c>
      <c r="F462" s="28">
        <v>137.4</v>
      </c>
      <c r="G462" s="28">
        <v>240.2</v>
      </c>
      <c r="H462" s="28">
        <v>240.2</v>
      </c>
    </row>
    <row r="463" spans="1:8" ht="31.5">
      <c r="A463" s="55" t="s">
        <v>24</v>
      </c>
      <c r="B463" s="55" t="s">
        <v>93</v>
      </c>
      <c r="C463" s="55">
        <v>1230620320</v>
      </c>
      <c r="D463" s="57" t="s">
        <v>112</v>
      </c>
      <c r="E463" s="56" t="s">
        <v>113</v>
      </c>
      <c r="F463" s="28">
        <f>F464</f>
        <v>80.6</v>
      </c>
      <c r="G463" s="28">
        <f aca="true" t="shared" si="169" ref="G463:H463">G464</f>
        <v>39</v>
      </c>
      <c r="H463" s="28">
        <f t="shared" si="169"/>
        <v>39</v>
      </c>
    </row>
    <row r="464" spans="1:8" ht="12.75">
      <c r="A464" s="55" t="s">
        <v>24</v>
      </c>
      <c r="B464" s="55" t="s">
        <v>93</v>
      </c>
      <c r="C464" s="55">
        <v>1230620320</v>
      </c>
      <c r="D464" s="55">
        <v>610</v>
      </c>
      <c r="E464" s="56" t="s">
        <v>130</v>
      </c>
      <c r="F464" s="28">
        <f>20.6+60</f>
        <v>80.6</v>
      </c>
      <c r="G464" s="28">
        <v>39</v>
      </c>
      <c r="H464" s="28">
        <v>39</v>
      </c>
    </row>
    <row r="465" spans="1:8" ht="12.75">
      <c r="A465" s="55" t="s">
        <v>24</v>
      </c>
      <c r="B465" s="55" t="s">
        <v>104</v>
      </c>
      <c r="C465" s="55" t="s">
        <v>72</v>
      </c>
      <c r="D465" s="55" t="s">
        <v>72</v>
      </c>
      <c r="E465" s="9" t="s">
        <v>69</v>
      </c>
      <c r="F465" s="28">
        <f>F466</f>
        <v>2524.2</v>
      </c>
      <c r="G465" s="28">
        <f aca="true" t="shared" si="170" ref="G465:H468">G466</f>
        <v>2068.6</v>
      </c>
      <c r="H465" s="28">
        <f t="shared" si="170"/>
        <v>2068.6</v>
      </c>
    </row>
    <row r="466" spans="1:8" ht="12.75">
      <c r="A466" s="55" t="s">
        <v>24</v>
      </c>
      <c r="B466" s="55" t="s">
        <v>70</v>
      </c>
      <c r="C466" s="55" t="s">
        <v>72</v>
      </c>
      <c r="D466" s="55" t="s">
        <v>72</v>
      </c>
      <c r="E466" s="56" t="s">
        <v>71</v>
      </c>
      <c r="F466" s="28">
        <f>F467</f>
        <v>2524.2</v>
      </c>
      <c r="G466" s="28">
        <f t="shared" si="170"/>
        <v>2068.6</v>
      </c>
      <c r="H466" s="28">
        <f t="shared" si="170"/>
        <v>2068.6</v>
      </c>
    </row>
    <row r="467" spans="1:8" ht="47.25">
      <c r="A467" s="55" t="s">
        <v>24</v>
      </c>
      <c r="B467" s="55" t="s">
        <v>70</v>
      </c>
      <c r="C467" s="57">
        <v>1200000000</v>
      </c>
      <c r="D467" s="55"/>
      <c r="E467" s="56" t="s">
        <v>242</v>
      </c>
      <c r="F467" s="28">
        <f>F468</f>
        <v>2524.2</v>
      </c>
      <c r="G467" s="28">
        <f t="shared" si="170"/>
        <v>2068.6</v>
      </c>
      <c r="H467" s="28">
        <f t="shared" si="170"/>
        <v>2068.6</v>
      </c>
    </row>
    <row r="468" spans="1:8" ht="31.5">
      <c r="A468" s="55" t="s">
        <v>24</v>
      </c>
      <c r="B468" s="55" t="s">
        <v>70</v>
      </c>
      <c r="C468" s="57">
        <v>1240000000</v>
      </c>
      <c r="D468" s="55"/>
      <c r="E468" s="56" t="s">
        <v>171</v>
      </c>
      <c r="F468" s="28">
        <f>F469</f>
        <v>2524.2</v>
      </c>
      <c r="G468" s="28">
        <f t="shared" si="170"/>
        <v>2068.6</v>
      </c>
      <c r="H468" s="28">
        <f t="shared" si="170"/>
        <v>2068.6</v>
      </c>
    </row>
    <row r="469" spans="1:8" ht="12.75">
      <c r="A469" s="55" t="s">
        <v>24</v>
      </c>
      <c r="B469" s="55" t="s">
        <v>70</v>
      </c>
      <c r="C469" s="55">
        <v>1240300000</v>
      </c>
      <c r="D469" s="55"/>
      <c r="E469" s="56" t="s">
        <v>267</v>
      </c>
      <c r="F469" s="28">
        <f>F473+F476+F479+F470</f>
        <v>2524.2</v>
      </c>
      <c r="G469" s="28">
        <f aca="true" t="shared" si="171" ref="G469:H469">G473+G476+G479+G470</f>
        <v>2068.6</v>
      </c>
      <c r="H469" s="28">
        <f t="shared" si="171"/>
        <v>2068.6</v>
      </c>
    </row>
    <row r="470" spans="1:8" ht="47.25">
      <c r="A470" s="84" t="s">
        <v>24</v>
      </c>
      <c r="B470" s="84" t="s">
        <v>70</v>
      </c>
      <c r="C470" s="84">
        <v>1240310320</v>
      </c>
      <c r="D470" s="84"/>
      <c r="E470" s="85" t="s">
        <v>359</v>
      </c>
      <c r="F470" s="28">
        <f>F471</f>
        <v>455.6</v>
      </c>
      <c r="G470" s="28">
        <f aca="true" t="shared" si="172" ref="G470:H471">G471</f>
        <v>0</v>
      </c>
      <c r="H470" s="28">
        <f t="shared" si="172"/>
        <v>0</v>
      </c>
    </row>
    <row r="471" spans="1:8" ht="12.75">
      <c r="A471" s="84" t="s">
        <v>24</v>
      </c>
      <c r="B471" s="84" t="s">
        <v>70</v>
      </c>
      <c r="C471" s="84">
        <v>1240310320</v>
      </c>
      <c r="D471" s="84" t="s">
        <v>76</v>
      </c>
      <c r="E471" s="85" t="s">
        <v>77</v>
      </c>
      <c r="F471" s="28">
        <f>F472</f>
        <v>455.6</v>
      </c>
      <c r="G471" s="28">
        <f t="shared" si="172"/>
        <v>0</v>
      </c>
      <c r="H471" s="28">
        <f t="shared" si="172"/>
        <v>0</v>
      </c>
    </row>
    <row r="472" spans="1:8" ht="47.25">
      <c r="A472" s="84" t="s">
        <v>24</v>
      </c>
      <c r="B472" s="84" t="s">
        <v>70</v>
      </c>
      <c r="C472" s="84">
        <v>1240310320</v>
      </c>
      <c r="D472" s="84" t="s">
        <v>197</v>
      </c>
      <c r="E472" s="85" t="s">
        <v>198</v>
      </c>
      <c r="F472" s="28">
        <v>455.6</v>
      </c>
      <c r="G472" s="28">
        <v>0</v>
      </c>
      <c r="H472" s="28">
        <v>0</v>
      </c>
    </row>
    <row r="473" spans="1:8" ht="31.5">
      <c r="A473" s="55" t="s">
        <v>24</v>
      </c>
      <c r="B473" s="55" t="s">
        <v>70</v>
      </c>
      <c r="C473" s="55">
        <v>1240320360</v>
      </c>
      <c r="D473" s="55"/>
      <c r="E473" s="56" t="s">
        <v>193</v>
      </c>
      <c r="F473" s="28">
        <f>F474</f>
        <v>942.5</v>
      </c>
      <c r="G473" s="28">
        <f aca="true" t="shared" si="173" ref="G473:H474">G474</f>
        <v>942.5</v>
      </c>
      <c r="H473" s="28">
        <f t="shared" si="173"/>
        <v>942.5</v>
      </c>
    </row>
    <row r="474" spans="1:8" ht="12.75">
      <c r="A474" s="55" t="s">
        <v>24</v>
      </c>
      <c r="B474" s="55" t="s">
        <v>70</v>
      </c>
      <c r="C474" s="55">
        <v>1240320360</v>
      </c>
      <c r="D474" s="55" t="s">
        <v>76</v>
      </c>
      <c r="E474" s="56" t="s">
        <v>77</v>
      </c>
      <c r="F474" s="28">
        <f>F475</f>
        <v>942.5</v>
      </c>
      <c r="G474" s="28">
        <f t="shared" si="173"/>
        <v>942.5</v>
      </c>
      <c r="H474" s="28">
        <f t="shared" si="173"/>
        <v>942.5</v>
      </c>
    </row>
    <row r="475" spans="1:8" ht="47.25">
      <c r="A475" s="55" t="s">
        <v>24</v>
      </c>
      <c r="B475" s="55" t="s">
        <v>70</v>
      </c>
      <c r="C475" s="55">
        <v>1240320360</v>
      </c>
      <c r="D475" s="55" t="s">
        <v>197</v>
      </c>
      <c r="E475" s="56" t="s">
        <v>198</v>
      </c>
      <c r="F475" s="28">
        <v>942.5</v>
      </c>
      <c r="G475" s="28">
        <v>942.5</v>
      </c>
      <c r="H475" s="28">
        <v>942.5</v>
      </c>
    </row>
    <row r="476" spans="1:8" ht="47.25">
      <c r="A476" s="55" t="s">
        <v>24</v>
      </c>
      <c r="B476" s="55" t="s">
        <v>70</v>
      </c>
      <c r="C476" s="55">
        <v>1240320370</v>
      </c>
      <c r="D476" s="55"/>
      <c r="E476" s="56" t="s">
        <v>194</v>
      </c>
      <c r="F476" s="28">
        <f>F477</f>
        <v>489.6</v>
      </c>
      <c r="G476" s="28">
        <f aca="true" t="shared" si="174" ref="G476:H477">G477</f>
        <v>489.6</v>
      </c>
      <c r="H476" s="28">
        <f t="shared" si="174"/>
        <v>489.6</v>
      </c>
    </row>
    <row r="477" spans="1:8" ht="12.75">
      <c r="A477" s="55" t="s">
        <v>24</v>
      </c>
      <c r="B477" s="55" t="s">
        <v>70</v>
      </c>
      <c r="C477" s="55">
        <v>1240320370</v>
      </c>
      <c r="D477" s="55" t="s">
        <v>76</v>
      </c>
      <c r="E477" s="56" t="s">
        <v>77</v>
      </c>
      <c r="F477" s="28">
        <f>F478</f>
        <v>489.6</v>
      </c>
      <c r="G477" s="28">
        <f t="shared" si="174"/>
        <v>489.6</v>
      </c>
      <c r="H477" s="28">
        <f t="shared" si="174"/>
        <v>489.6</v>
      </c>
    </row>
    <row r="478" spans="1:8" ht="47.25">
      <c r="A478" s="55" t="s">
        <v>24</v>
      </c>
      <c r="B478" s="55" t="s">
        <v>70</v>
      </c>
      <c r="C478" s="55">
        <v>1240320370</v>
      </c>
      <c r="D478" s="55" t="s">
        <v>197</v>
      </c>
      <c r="E478" s="56" t="s">
        <v>198</v>
      </c>
      <c r="F478" s="28">
        <v>489.6</v>
      </c>
      <c r="G478" s="28">
        <v>489.6</v>
      </c>
      <c r="H478" s="28">
        <v>489.6</v>
      </c>
    </row>
    <row r="479" spans="1:8" ht="47.25">
      <c r="A479" s="55" t="s">
        <v>24</v>
      </c>
      <c r="B479" s="55" t="s">
        <v>70</v>
      </c>
      <c r="C479" s="55" t="s">
        <v>196</v>
      </c>
      <c r="D479" s="55"/>
      <c r="E479" s="56" t="s">
        <v>195</v>
      </c>
      <c r="F479" s="28">
        <f>F480</f>
        <v>636.5</v>
      </c>
      <c r="G479" s="28">
        <f aca="true" t="shared" si="175" ref="G479:H480">G480</f>
        <v>636.5</v>
      </c>
      <c r="H479" s="28">
        <f t="shared" si="175"/>
        <v>636.5</v>
      </c>
    </row>
    <row r="480" spans="1:8" ht="12.75">
      <c r="A480" s="55" t="s">
        <v>24</v>
      </c>
      <c r="B480" s="55" t="s">
        <v>70</v>
      </c>
      <c r="C480" s="55" t="s">
        <v>196</v>
      </c>
      <c r="D480" s="55" t="s">
        <v>76</v>
      </c>
      <c r="E480" s="56" t="s">
        <v>77</v>
      </c>
      <c r="F480" s="28">
        <f>F481</f>
        <v>636.5</v>
      </c>
      <c r="G480" s="28">
        <f t="shared" si="175"/>
        <v>636.5</v>
      </c>
      <c r="H480" s="28">
        <f t="shared" si="175"/>
        <v>636.5</v>
      </c>
    </row>
    <row r="481" spans="1:8" ht="47.25">
      <c r="A481" s="55" t="s">
        <v>24</v>
      </c>
      <c r="B481" s="55" t="s">
        <v>70</v>
      </c>
      <c r="C481" s="55" t="s">
        <v>196</v>
      </c>
      <c r="D481" s="55" t="s">
        <v>197</v>
      </c>
      <c r="E481" s="56" t="s">
        <v>198</v>
      </c>
      <c r="F481" s="28">
        <v>636.5</v>
      </c>
      <c r="G481" s="28">
        <v>636.5</v>
      </c>
      <c r="H481" s="28">
        <v>636.5</v>
      </c>
    </row>
    <row r="482" spans="1:8" ht="31.5">
      <c r="A482" s="19" t="s">
        <v>40</v>
      </c>
      <c r="B482" s="31" t="s">
        <v>72</v>
      </c>
      <c r="C482" s="31" t="s">
        <v>72</v>
      </c>
      <c r="D482" s="31" t="s">
        <v>72</v>
      </c>
      <c r="E482" s="58" t="s">
        <v>308</v>
      </c>
      <c r="F482" s="34">
        <f>F483+F521+F513</f>
        <v>8615.699999999999</v>
      </c>
      <c r="G482" s="34">
        <f>G483+G521+G513</f>
        <v>8588.599999999999</v>
      </c>
      <c r="H482" s="34">
        <f>H483+H521+H513</f>
        <v>7440.599999999999</v>
      </c>
    </row>
    <row r="483" spans="1:8" ht="12.75">
      <c r="A483" s="55" t="s">
        <v>40</v>
      </c>
      <c r="B483" s="55" t="s">
        <v>60</v>
      </c>
      <c r="C483" s="55" t="s">
        <v>72</v>
      </c>
      <c r="D483" s="55" t="s">
        <v>72</v>
      </c>
      <c r="E483" s="16" t="s">
        <v>25</v>
      </c>
      <c r="F483" s="28">
        <f>F484+F495+F501</f>
        <v>8437.4</v>
      </c>
      <c r="G483" s="28">
        <f aca="true" t="shared" si="176" ref="G483">G484+G495+G501</f>
        <v>8200.599999999999</v>
      </c>
      <c r="H483" s="28">
        <f>H484+H495+H501</f>
        <v>7052.599999999999</v>
      </c>
    </row>
    <row r="484" spans="1:8" ht="36" customHeight="1">
      <c r="A484" s="55" t="s">
        <v>40</v>
      </c>
      <c r="B484" s="55" t="s">
        <v>51</v>
      </c>
      <c r="C484" s="55" t="s">
        <v>72</v>
      </c>
      <c r="D484" s="55" t="s">
        <v>72</v>
      </c>
      <c r="E484" s="56" t="s">
        <v>11</v>
      </c>
      <c r="F484" s="28">
        <f>F485</f>
        <v>7059.8</v>
      </c>
      <c r="G484" s="28">
        <f aca="true" t="shared" si="177" ref="G484:H487">G485</f>
        <v>6252.599999999999</v>
      </c>
      <c r="H484" s="28">
        <f t="shared" si="177"/>
        <v>6252.599999999999</v>
      </c>
    </row>
    <row r="485" spans="1:8" ht="12.75">
      <c r="A485" s="55" t="s">
        <v>40</v>
      </c>
      <c r="B485" s="55" t="s">
        <v>51</v>
      </c>
      <c r="C485" s="55">
        <v>9900000000</v>
      </c>
      <c r="D485" s="55"/>
      <c r="E485" s="56" t="s">
        <v>131</v>
      </c>
      <c r="F485" s="28">
        <f>F486</f>
        <v>7059.8</v>
      </c>
      <c r="G485" s="28">
        <f t="shared" si="177"/>
        <v>6252.599999999999</v>
      </c>
      <c r="H485" s="28">
        <f t="shared" si="177"/>
        <v>6252.599999999999</v>
      </c>
    </row>
    <row r="486" spans="1:8" ht="31.5">
      <c r="A486" s="55" t="s">
        <v>40</v>
      </c>
      <c r="B486" s="55" t="s">
        <v>51</v>
      </c>
      <c r="C486" s="55">
        <v>9990000000</v>
      </c>
      <c r="D486" s="55"/>
      <c r="E486" s="56" t="s">
        <v>199</v>
      </c>
      <c r="F486" s="28">
        <f>F487</f>
        <v>7059.8</v>
      </c>
      <c r="G486" s="28">
        <f t="shared" si="177"/>
        <v>6252.599999999999</v>
      </c>
      <c r="H486" s="28">
        <f t="shared" si="177"/>
        <v>6252.599999999999</v>
      </c>
    </row>
    <row r="487" spans="1:8" ht="31.5">
      <c r="A487" s="55" t="s">
        <v>40</v>
      </c>
      <c r="B487" s="55" t="s">
        <v>51</v>
      </c>
      <c r="C487" s="55">
        <v>9990200000</v>
      </c>
      <c r="D487" s="31"/>
      <c r="E487" s="71" t="s">
        <v>145</v>
      </c>
      <c r="F487" s="28">
        <f aca="true" t="shared" si="178" ref="F487">F488</f>
        <v>7059.8</v>
      </c>
      <c r="G487" s="28">
        <f t="shared" si="177"/>
        <v>6252.599999999999</v>
      </c>
      <c r="H487" s="28">
        <f>H488</f>
        <v>6252.599999999999</v>
      </c>
    </row>
    <row r="488" spans="1:8" ht="47.25">
      <c r="A488" s="55" t="s">
        <v>40</v>
      </c>
      <c r="B488" s="55" t="s">
        <v>51</v>
      </c>
      <c r="C488" s="55">
        <v>9990225000</v>
      </c>
      <c r="D488" s="55"/>
      <c r="E488" s="71" t="s">
        <v>146</v>
      </c>
      <c r="F488" s="28">
        <f>F489+F491+F493</f>
        <v>7059.8</v>
      </c>
      <c r="G488" s="28">
        <f aca="true" t="shared" si="179" ref="G488:H488">G489+G491+G493</f>
        <v>6252.599999999999</v>
      </c>
      <c r="H488" s="28">
        <f t="shared" si="179"/>
        <v>6252.599999999999</v>
      </c>
    </row>
    <row r="489" spans="1:8" ht="63">
      <c r="A489" s="55" t="s">
        <v>40</v>
      </c>
      <c r="B489" s="55" t="s">
        <v>51</v>
      </c>
      <c r="C489" s="55">
        <v>9990225000</v>
      </c>
      <c r="D489" s="55" t="s">
        <v>74</v>
      </c>
      <c r="E489" s="56" t="s">
        <v>2</v>
      </c>
      <c r="F489" s="28">
        <f>F490</f>
        <v>6692.6</v>
      </c>
      <c r="G489" s="28">
        <f aca="true" t="shared" si="180" ref="G489:H489">G490</f>
        <v>6252.599999999999</v>
      </c>
      <c r="H489" s="28">
        <f t="shared" si="180"/>
        <v>6252.599999999999</v>
      </c>
    </row>
    <row r="490" spans="1:8" ht="31.15" customHeight="1">
      <c r="A490" s="55" t="s">
        <v>40</v>
      </c>
      <c r="B490" s="55" t="s">
        <v>51</v>
      </c>
      <c r="C490" s="55">
        <v>9990225000</v>
      </c>
      <c r="D490" s="55">
        <v>120</v>
      </c>
      <c r="E490" s="56" t="s">
        <v>471</v>
      </c>
      <c r="F490" s="28">
        <f>6565.2-94.7+222.1</f>
        <v>6692.6</v>
      </c>
      <c r="G490" s="28">
        <f>6379.9-127.3</f>
        <v>6252.599999999999</v>
      </c>
      <c r="H490" s="28">
        <f>6379.9-127.3</f>
        <v>6252.599999999999</v>
      </c>
    </row>
    <row r="491" spans="1:8" ht="31.5">
      <c r="A491" s="55" t="s">
        <v>40</v>
      </c>
      <c r="B491" s="55" t="s">
        <v>51</v>
      </c>
      <c r="C491" s="55">
        <v>9990225000</v>
      </c>
      <c r="D491" s="55" t="s">
        <v>75</v>
      </c>
      <c r="E491" s="56" t="s">
        <v>110</v>
      </c>
      <c r="F491" s="28">
        <f>F492</f>
        <v>303.2</v>
      </c>
      <c r="G491" s="28">
        <f aca="true" t="shared" si="181" ref="G491:H491">G492</f>
        <v>0</v>
      </c>
      <c r="H491" s="28">
        <f t="shared" si="181"/>
        <v>0</v>
      </c>
    </row>
    <row r="492" spans="1:8" ht="33.6" customHeight="1">
      <c r="A492" s="55" t="s">
        <v>40</v>
      </c>
      <c r="B492" s="55" t="s">
        <v>51</v>
      </c>
      <c r="C492" s="55">
        <v>9990225000</v>
      </c>
      <c r="D492" s="55">
        <v>240</v>
      </c>
      <c r="E492" s="199" t="s">
        <v>469</v>
      </c>
      <c r="F492" s="28">
        <v>303.2</v>
      </c>
      <c r="G492" s="28">
        <v>0</v>
      </c>
      <c r="H492" s="28">
        <v>0</v>
      </c>
    </row>
    <row r="493" spans="1:8" ht="12.75">
      <c r="A493" s="55" t="s">
        <v>40</v>
      </c>
      <c r="B493" s="55" t="s">
        <v>51</v>
      </c>
      <c r="C493" s="55">
        <v>9990225000</v>
      </c>
      <c r="D493" s="55" t="s">
        <v>76</v>
      </c>
      <c r="E493" s="56" t="s">
        <v>77</v>
      </c>
      <c r="F493" s="28">
        <f>F494</f>
        <v>64</v>
      </c>
      <c r="G493" s="28">
        <f aca="true" t="shared" si="182" ref="G493:H493">G494</f>
        <v>0</v>
      </c>
      <c r="H493" s="28">
        <f t="shared" si="182"/>
        <v>0</v>
      </c>
    </row>
    <row r="494" spans="1:8" ht="12.75">
      <c r="A494" s="55" t="s">
        <v>40</v>
      </c>
      <c r="B494" s="55" t="s">
        <v>51</v>
      </c>
      <c r="C494" s="55">
        <v>9990225000</v>
      </c>
      <c r="D494" s="55">
        <v>850</v>
      </c>
      <c r="E494" s="56" t="s">
        <v>126</v>
      </c>
      <c r="F494" s="28">
        <f>40+24</f>
        <v>64</v>
      </c>
      <c r="G494" s="28">
        <v>0</v>
      </c>
      <c r="H494" s="28">
        <v>0</v>
      </c>
    </row>
    <row r="495" spans="1:8" ht="12.75">
      <c r="A495" s="55" t="s">
        <v>40</v>
      </c>
      <c r="B495" s="55" t="s">
        <v>52</v>
      </c>
      <c r="C495" s="55"/>
      <c r="D495" s="55"/>
      <c r="E495" s="56" t="s">
        <v>12</v>
      </c>
      <c r="F495" s="28">
        <f>F496</f>
        <v>1000</v>
      </c>
      <c r="G495" s="28">
        <f aca="true" t="shared" si="183" ref="G495:H499">G496</f>
        <v>900</v>
      </c>
      <c r="H495" s="28">
        <f t="shared" si="183"/>
        <v>800</v>
      </c>
    </row>
    <row r="496" spans="1:8" ht="12.75">
      <c r="A496" s="55" t="s">
        <v>40</v>
      </c>
      <c r="B496" s="55" t="s">
        <v>52</v>
      </c>
      <c r="C496" s="55">
        <v>9900000000</v>
      </c>
      <c r="D496" s="55"/>
      <c r="E496" s="56" t="s">
        <v>131</v>
      </c>
      <c r="F496" s="28">
        <f>F497</f>
        <v>1000</v>
      </c>
      <c r="G496" s="28">
        <f t="shared" si="183"/>
        <v>900</v>
      </c>
      <c r="H496" s="28">
        <f t="shared" si="183"/>
        <v>800</v>
      </c>
    </row>
    <row r="497" spans="1:8" ht="12.75">
      <c r="A497" s="55" t="s">
        <v>40</v>
      </c>
      <c r="B497" s="55" t="s">
        <v>52</v>
      </c>
      <c r="C497" s="55">
        <v>9910000000</v>
      </c>
      <c r="D497" s="55"/>
      <c r="E497" s="56" t="s">
        <v>12</v>
      </c>
      <c r="F497" s="28">
        <f>F498</f>
        <v>1000</v>
      </c>
      <c r="G497" s="28">
        <f t="shared" si="183"/>
        <v>900</v>
      </c>
      <c r="H497" s="28">
        <f t="shared" si="183"/>
        <v>800</v>
      </c>
    </row>
    <row r="498" spans="1:8" ht="31.5">
      <c r="A498" s="55" t="s">
        <v>40</v>
      </c>
      <c r="B498" s="55" t="s">
        <v>52</v>
      </c>
      <c r="C498" s="55">
        <v>9910020000</v>
      </c>
      <c r="D498" s="55"/>
      <c r="E498" s="56" t="s">
        <v>217</v>
      </c>
      <c r="F498" s="28">
        <f>F499</f>
        <v>1000</v>
      </c>
      <c r="G498" s="28">
        <f t="shared" si="183"/>
        <v>900</v>
      </c>
      <c r="H498" s="28">
        <f t="shared" si="183"/>
        <v>800</v>
      </c>
    </row>
    <row r="499" spans="1:8" ht="12.75">
      <c r="A499" s="55" t="s">
        <v>40</v>
      </c>
      <c r="B499" s="55" t="s">
        <v>52</v>
      </c>
      <c r="C499" s="55">
        <v>9910020000</v>
      </c>
      <c r="D499" s="57" t="s">
        <v>76</v>
      </c>
      <c r="E499" s="56" t="s">
        <v>77</v>
      </c>
      <c r="F499" s="28">
        <f>F500</f>
        <v>1000</v>
      </c>
      <c r="G499" s="28">
        <f t="shared" si="183"/>
        <v>900</v>
      </c>
      <c r="H499" s="28">
        <f t="shared" si="183"/>
        <v>800</v>
      </c>
    </row>
    <row r="500" spans="1:8" ht="12.75">
      <c r="A500" s="55" t="s">
        <v>40</v>
      </c>
      <c r="B500" s="55" t="s">
        <v>52</v>
      </c>
      <c r="C500" s="55">
        <v>9910020000</v>
      </c>
      <c r="D500" s="3" t="s">
        <v>218</v>
      </c>
      <c r="E500" s="22" t="s">
        <v>219</v>
      </c>
      <c r="F500" s="28">
        <v>1000</v>
      </c>
      <c r="G500" s="28">
        <v>900</v>
      </c>
      <c r="H500" s="28">
        <v>800</v>
      </c>
    </row>
    <row r="501" spans="1:8" ht="12.75">
      <c r="A501" s="55" t="s">
        <v>40</v>
      </c>
      <c r="B501" s="55" t="s">
        <v>66</v>
      </c>
      <c r="C501" s="55"/>
      <c r="D501" s="55"/>
      <c r="E501" s="56" t="s">
        <v>28</v>
      </c>
      <c r="F501" s="28">
        <f>F502+F508</f>
        <v>377.59999999999997</v>
      </c>
      <c r="G501" s="28">
        <f>G502+G508</f>
        <v>1048</v>
      </c>
      <c r="H501" s="28">
        <f>H502+H508</f>
        <v>0</v>
      </c>
    </row>
    <row r="502" spans="1:8" ht="47.25">
      <c r="A502" s="55" t="s">
        <v>40</v>
      </c>
      <c r="B502" s="57" t="s">
        <v>66</v>
      </c>
      <c r="C502" s="57">
        <v>1600000000</v>
      </c>
      <c r="D502" s="57"/>
      <c r="E502" s="90" t="s">
        <v>140</v>
      </c>
      <c r="F502" s="28">
        <f>F503</f>
        <v>337.59999999999997</v>
      </c>
      <c r="G502" s="28">
        <f aca="true" t="shared" si="184" ref="G502:H502">G503</f>
        <v>1048</v>
      </c>
      <c r="H502" s="28">
        <f t="shared" si="184"/>
        <v>0</v>
      </c>
    </row>
    <row r="503" spans="1:8" ht="47.25">
      <c r="A503" s="55" t="s">
        <v>40</v>
      </c>
      <c r="B503" s="55" t="s">
        <v>66</v>
      </c>
      <c r="C503" s="57">
        <v>1630000000</v>
      </c>
      <c r="D503" s="55"/>
      <c r="E503" s="56" t="s">
        <v>286</v>
      </c>
      <c r="F503" s="28">
        <f>F504</f>
        <v>337.59999999999997</v>
      </c>
      <c r="G503" s="28">
        <f>G504</f>
        <v>1048</v>
      </c>
      <c r="H503" s="28">
        <f>H504</f>
        <v>0</v>
      </c>
    </row>
    <row r="504" spans="1:8" ht="47.25">
      <c r="A504" s="55" t="s">
        <v>40</v>
      </c>
      <c r="B504" s="57" t="s">
        <v>66</v>
      </c>
      <c r="C504" s="55">
        <v>1630100000</v>
      </c>
      <c r="D504" s="55"/>
      <c r="E504" s="56" t="s">
        <v>287</v>
      </c>
      <c r="F504" s="28">
        <f>F505</f>
        <v>337.59999999999997</v>
      </c>
      <c r="G504" s="28">
        <f aca="true" t="shared" si="185" ref="G504:H506">G505</f>
        <v>1048</v>
      </c>
      <c r="H504" s="28">
        <f t="shared" si="185"/>
        <v>0</v>
      </c>
    </row>
    <row r="505" spans="1:8" ht="47.25">
      <c r="A505" s="55" t="s">
        <v>40</v>
      </c>
      <c r="B505" s="55" t="s">
        <v>66</v>
      </c>
      <c r="C505" s="55">
        <v>1630120180</v>
      </c>
      <c r="D505" s="55"/>
      <c r="E505" s="56" t="s">
        <v>288</v>
      </c>
      <c r="F505" s="28">
        <f>F506</f>
        <v>337.59999999999997</v>
      </c>
      <c r="G505" s="28">
        <f t="shared" si="185"/>
        <v>1048</v>
      </c>
      <c r="H505" s="28">
        <f t="shared" si="185"/>
        <v>0</v>
      </c>
    </row>
    <row r="506" spans="1:8" ht="31.5">
      <c r="A506" s="55" t="s">
        <v>40</v>
      </c>
      <c r="B506" s="57" t="s">
        <v>66</v>
      </c>
      <c r="C506" s="55">
        <v>1630120180</v>
      </c>
      <c r="D506" s="55" t="s">
        <v>75</v>
      </c>
      <c r="E506" s="56" t="s">
        <v>110</v>
      </c>
      <c r="F506" s="28">
        <f>F507</f>
        <v>337.59999999999997</v>
      </c>
      <c r="G506" s="28">
        <f t="shared" si="185"/>
        <v>1048</v>
      </c>
      <c r="H506" s="28">
        <f t="shared" si="185"/>
        <v>0</v>
      </c>
    </row>
    <row r="507" spans="1:8" ht="33" customHeight="1">
      <c r="A507" s="55" t="s">
        <v>40</v>
      </c>
      <c r="B507" s="57" t="s">
        <v>66</v>
      </c>
      <c r="C507" s="55">
        <v>1630120180</v>
      </c>
      <c r="D507" s="55">
        <v>240</v>
      </c>
      <c r="E507" s="199" t="s">
        <v>469</v>
      </c>
      <c r="F507" s="28">
        <f>1133.8+26-325.9-496.3</f>
        <v>337.59999999999997</v>
      </c>
      <c r="G507" s="28">
        <f>1187-139</f>
        <v>1048</v>
      </c>
      <c r="H507" s="28">
        <v>0</v>
      </c>
    </row>
    <row r="508" spans="1:8" ht="19.5" customHeight="1">
      <c r="A508" s="78" t="s">
        <v>40</v>
      </c>
      <c r="B508" s="78" t="s">
        <v>66</v>
      </c>
      <c r="C508" s="78">
        <v>9900000000</v>
      </c>
      <c r="D508" s="78"/>
      <c r="E508" s="79" t="s">
        <v>131</v>
      </c>
      <c r="F508" s="28">
        <f>F509</f>
        <v>40</v>
      </c>
      <c r="G508" s="28">
        <f aca="true" t="shared" si="186" ref="G508:H511">G509</f>
        <v>0</v>
      </c>
      <c r="H508" s="28">
        <f t="shared" si="186"/>
        <v>0</v>
      </c>
    </row>
    <row r="509" spans="1:8" ht="34.15" customHeight="1">
      <c r="A509" s="78" t="s">
        <v>40</v>
      </c>
      <c r="B509" s="80" t="s">
        <v>66</v>
      </c>
      <c r="C509" s="78">
        <v>9930000000</v>
      </c>
      <c r="D509" s="78"/>
      <c r="E509" s="79" t="s">
        <v>212</v>
      </c>
      <c r="F509" s="28">
        <f>F510</f>
        <v>40</v>
      </c>
      <c r="G509" s="28">
        <f t="shared" si="186"/>
        <v>0</v>
      </c>
      <c r="H509" s="28">
        <f t="shared" si="186"/>
        <v>0</v>
      </c>
    </row>
    <row r="510" spans="1:8" ht="47.25">
      <c r="A510" s="78" t="s">
        <v>40</v>
      </c>
      <c r="B510" s="80" t="s">
        <v>66</v>
      </c>
      <c r="C510" s="78">
        <v>9930020510</v>
      </c>
      <c r="D510" s="78"/>
      <c r="E510" s="79" t="s">
        <v>358</v>
      </c>
      <c r="F510" s="28">
        <f>F511</f>
        <v>40</v>
      </c>
      <c r="G510" s="28">
        <f t="shared" si="186"/>
        <v>0</v>
      </c>
      <c r="H510" s="28">
        <f t="shared" si="186"/>
        <v>0</v>
      </c>
    </row>
    <row r="511" spans="1:8" ht="34.15" customHeight="1">
      <c r="A511" s="78" t="s">
        <v>40</v>
      </c>
      <c r="B511" s="78" t="s">
        <v>66</v>
      </c>
      <c r="C511" s="78">
        <v>9930020510</v>
      </c>
      <c r="D511" s="78" t="s">
        <v>75</v>
      </c>
      <c r="E511" s="79" t="s">
        <v>110</v>
      </c>
      <c r="F511" s="28">
        <f>F512</f>
        <v>40</v>
      </c>
      <c r="G511" s="28">
        <f t="shared" si="186"/>
        <v>0</v>
      </c>
      <c r="H511" s="28">
        <f t="shared" si="186"/>
        <v>0</v>
      </c>
    </row>
    <row r="512" spans="1:8" ht="34.15" customHeight="1">
      <c r="A512" s="78" t="s">
        <v>40</v>
      </c>
      <c r="B512" s="80" t="s">
        <v>66</v>
      </c>
      <c r="C512" s="78">
        <v>9930020510</v>
      </c>
      <c r="D512" s="78">
        <v>240</v>
      </c>
      <c r="E512" s="199" t="s">
        <v>469</v>
      </c>
      <c r="F512" s="28">
        <v>40</v>
      </c>
      <c r="G512" s="28">
        <v>0</v>
      </c>
      <c r="H512" s="28">
        <v>0</v>
      </c>
    </row>
    <row r="513" spans="1:8" ht="12.75">
      <c r="A513" s="55" t="s">
        <v>40</v>
      </c>
      <c r="B513" s="55" t="s">
        <v>42</v>
      </c>
      <c r="C513" s="55" t="s">
        <v>72</v>
      </c>
      <c r="D513" s="55" t="s">
        <v>72</v>
      </c>
      <c r="E513" s="56" t="s">
        <v>34</v>
      </c>
      <c r="F513" s="28">
        <f aca="true" t="shared" si="187" ref="F513:H519">F514</f>
        <v>88</v>
      </c>
      <c r="G513" s="28">
        <f t="shared" si="187"/>
        <v>88</v>
      </c>
      <c r="H513" s="28">
        <f t="shared" si="187"/>
        <v>88</v>
      </c>
    </row>
    <row r="514" spans="1:8" ht="30" customHeight="1">
      <c r="A514" s="55" t="s">
        <v>40</v>
      </c>
      <c r="B514" s="29" t="s">
        <v>276</v>
      </c>
      <c r="C514" s="55"/>
      <c r="D514" s="55"/>
      <c r="E514" s="36" t="s">
        <v>470</v>
      </c>
      <c r="F514" s="28">
        <f t="shared" si="187"/>
        <v>88</v>
      </c>
      <c r="G514" s="28">
        <f t="shared" si="187"/>
        <v>88</v>
      </c>
      <c r="H514" s="28">
        <f t="shared" si="187"/>
        <v>88</v>
      </c>
    </row>
    <row r="515" spans="1:8" ht="47.25">
      <c r="A515" s="55" t="s">
        <v>40</v>
      </c>
      <c r="B515" s="29" t="s">
        <v>276</v>
      </c>
      <c r="C515" s="57">
        <v>1600000000</v>
      </c>
      <c r="D515" s="57"/>
      <c r="E515" s="56" t="s">
        <v>140</v>
      </c>
      <c r="F515" s="28">
        <f t="shared" si="187"/>
        <v>88</v>
      </c>
      <c r="G515" s="28">
        <f t="shared" si="187"/>
        <v>88</v>
      </c>
      <c r="H515" s="28">
        <f t="shared" si="187"/>
        <v>88</v>
      </c>
    </row>
    <row r="516" spans="1:8" ht="47.25">
      <c r="A516" s="55" t="s">
        <v>40</v>
      </c>
      <c r="B516" s="29" t="s">
        <v>276</v>
      </c>
      <c r="C516" s="57">
        <v>1640000000</v>
      </c>
      <c r="D516" s="1"/>
      <c r="E516" s="22" t="s">
        <v>279</v>
      </c>
      <c r="F516" s="28">
        <f t="shared" si="187"/>
        <v>88</v>
      </c>
      <c r="G516" s="28">
        <f t="shared" si="187"/>
        <v>88</v>
      </c>
      <c r="H516" s="28">
        <f t="shared" si="187"/>
        <v>88</v>
      </c>
    </row>
    <row r="517" spans="1:8" ht="31.5">
      <c r="A517" s="55" t="s">
        <v>40</v>
      </c>
      <c r="B517" s="29" t="s">
        <v>276</v>
      </c>
      <c r="C517" s="57">
        <v>1640100000</v>
      </c>
      <c r="D517" s="55"/>
      <c r="E517" s="56" t="s">
        <v>281</v>
      </c>
      <c r="F517" s="28">
        <f t="shared" si="187"/>
        <v>88</v>
      </c>
      <c r="G517" s="28">
        <f t="shared" si="187"/>
        <v>88</v>
      </c>
      <c r="H517" s="28">
        <f t="shared" si="187"/>
        <v>88</v>
      </c>
    </row>
    <row r="518" spans="1:8" ht="12.75">
      <c r="A518" s="55" t="s">
        <v>40</v>
      </c>
      <c r="B518" s="29" t="s">
        <v>276</v>
      </c>
      <c r="C518" s="57">
        <v>1640120510</v>
      </c>
      <c r="D518" s="55"/>
      <c r="E518" s="56" t="s">
        <v>283</v>
      </c>
      <c r="F518" s="28">
        <f t="shared" si="187"/>
        <v>88</v>
      </c>
      <c r="G518" s="28">
        <f t="shared" si="187"/>
        <v>88</v>
      </c>
      <c r="H518" s="28">
        <f t="shared" si="187"/>
        <v>88</v>
      </c>
    </row>
    <row r="519" spans="1:8" ht="31.5">
      <c r="A519" s="55" t="s">
        <v>40</v>
      </c>
      <c r="B519" s="29" t="s">
        <v>276</v>
      </c>
      <c r="C519" s="57">
        <v>1640120510</v>
      </c>
      <c r="D519" s="57" t="s">
        <v>75</v>
      </c>
      <c r="E519" s="56" t="s">
        <v>110</v>
      </c>
      <c r="F519" s="28">
        <f t="shared" si="187"/>
        <v>88</v>
      </c>
      <c r="G519" s="28">
        <f t="shared" si="187"/>
        <v>88</v>
      </c>
      <c r="H519" s="28">
        <f t="shared" si="187"/>
        <v>88</v>
      </c>
    </row>
    <row r="520" spans="1:8" ht="33.6" customHeight="1">
      <c r="A520" s="55" t="s">
        <v>40</v>
      </c>
      <c r="B520" s="29" t="s">
        <v>276</v>
      </c>
      <c r="C520" s="57">
        <v>1640120510</v>
      </c>
      <c r="D520" s="55">
        <v>240</v>
      </c>
      <c r="E520" s="199" t="s">
        <v>469</v>
      </c>
      <c r="F520" s="28">
        <v>88</v>
      </c>
      <c r="G520" s="28">
        <v>88</v>
      </c>
      <c r="H520" s="28">
        <v>88</v>
      </c>
    </row>
    <row r="521" spans="1:8" ht="12.75">
      <c r="A521" s="55" t="s">
        <v>40</v>
      </c>
      <c r="B521" s="55" t="s">
        <v>105</v>
      </c>
      <c r="C521" s="55" t="s">
        <v>72</v>
      </c>
      <c r="D521" s="55" t="s">
        <v>72</v>
      </c>
      <c r="E521" s="56" t="s">
        <v>117</v>
      </c>
      <c r="F521" s="28">
        <f aca="true" t="shared" si="188" ref="F521:H526">F522</f>
        <v>90.30000000000001</v>
      </c>
      <c r="G521" s="28">
        <f t="shared" si="188"/>
        <v>300</v>
      </c>
      <c r="H521" s="28">
        <f t="shared" si="188"/>
        <v>300</v>
      </c>
    </row>
    <row r="522" spans="1:8" ht="21" customHeight="1">
      <c r="A522" s="55" t="s">
        <v>40</v>
      </c>
      <c r="B522" s="55" t="s">
        <v>106</v>
      </c>
      <c r="C522" s="55" t="s">
        <v>72</v>
      </c>
      <c r="D522" s="55" t="s">
        <v>72</v>
      </c>
      <c r="E522" s="56" t="s">
        <v>107</v>
      </c>
      <c r="F522" s="28">
        <f t="shared" si="188"/>
        <v>90.30000000000001</v>
      </c>
      <c r="G522" s="28">
        <f t="shared" si="188"/>
        <v>300</v>
      </c>
      <c r="H522" s="28">
        <f t="shared" si="188"/>
        <v>300</v>
      </c>
    </row>
    <row r="523" spans="1:8" ht="12.75">
      <c r="A523" s="55" t="s">
        <v>40</v>
      </c>
      <c r="B523" s="55" t="s">
        <v>106</v>
      </c>
      <c r="C523" s="55">
        <v>9900000000</v>
      </c>
      <c r="D523" s="55"/>
      <c r="E523" s="56" t="s">
        <v>131</v>
      </c>
      <c r="F523" s="28">
        <f t="shared" si="188"/>
        <v>90.30000000000001</v>
      </c>
      <c r="G523" s="28">
        <f t="shared" si="188"/>
        <v>300</v>
      </c>
      <c r="H523" s="28">
        <f t="shared" si="188"/>
        <v>300</v>
      </c>
    </row>
    <row r="524" spans="1:8" ht="31.5">
      <c r="A524" s="55" t="s">
        <v>40</v>
      </c>
      <c r="B524" s="55" t="s">
        <v>106</v>
      </c>
      <c r="C524" s="55">
        <v>9930000000</v>
      </c>
      <c r="D524" s="55"/>
      <c r="E524" s="56" t="s">
        <v>212</v>
      </c>
      <c r="F524" s="28">
        <f t="shared" si="188"/>
        <v>90.30000000000001</v>
      </c>
      <c r="G524" s="28">
        <f t="shared" si="188"/>
        <v>300</v>
      </c>
      <c r="H524" s="28">
        <f t="shared" si="188"/>
        <v>300</v>
      </c>
    </row>
    <row r="525" spans="1:8" ht="12.75">
      <c r="A525" s="55" t="s">
        <v>40</v>
      </c>
      <c r="B525" s="55" t="s">
        <v>106</v>
      </c>
      <c r="C525" s="55">
        <v>9930020500</v>
      </c>
      <c r="D525" s="55"/>
      <c r="E525" s="56" t="s">
        <v>114</v>
      </c>
      <c r="F525" s="28">
        <f t="shared" si="188"/>
        <v>90.30000000000001</v>
      </c>
      <c r="G525" s="28">
        <f t="shared" si="188"/>
        <v>300</v>
      </c>
      <c r="H525" s="28">
        <f t="shared" si="188"/>
        <v>300</v>
      </c>
    </row>
    <row r="526" spans="1:8" ht="12.75">
      <c r="A526" s="55" t="s">
        <v>40</v>
      </c>
      <c r="B526" s="55" t="s">
        <v>106</v>
      </c>
      <c r="C526" s="55">
        <v>9930020500</v>
      </c>
      <c r="D526" s="55" t="s">
        <v>115</v>
      </c>
      <c r="E526" s="56" t="s">
        <v>116</v>
      </c>
      <c r="F526" s="28">
        <f>F527</f>
        <v>90.30000000000001</v>
      </c>
      <c r="G526" s="28">
        <f t="shared" si="188"/>
        <v>300</v>
      </c>
      <c r="H526" s="28">
        <f t="shared" si="188"/>
        <v>300</v>
      </c>
    </row>
    <row r="527" spans="1:8" ht="12.75">
      <c r="A527" s="55" t="s">
        <v>40</v>
      </c>
      <c r="B527" s="55" t="s">
        <v>106</v>
      </c>
      <c r="C527" s="55">
        <v>9930020500</v>
      </c>
      <c r="D527" s="1" t="s">
        <v>220</v>
      </c>
      <c r="E527" s="22" t="s">
        <v>114</v>
      </c>
      <c r="F527" s="28">
        <f>351-270.7+10</f>
        <v>90.30000000000001</v>
      </c>
      <c r="G527" s="28">
        <v>300</v>
      </c>
      <c r="H527" s="28">
        <v>300</v>
      </c>
    </row>
    <row r="528" spans="1:8" ht="31.5">
      <c r="A528" s="19" t="s">
        <v>38</v>
      </c>
      <c r="B528" s="31" t="s">
        <v>72</v>
      </c>
      <c r="C528" s="31" t="s">
        <v>72</v>
      </c>
      <c r="D528" s="31" t="s">
        <v>72</v>
      </c>
      <c r="E528" s="58" t="s">
        <v>4</v>
      </c>
      <c r="F528" s="34">
        <f>F529+F561+F569+F577</f>
        <v>27703.6</v>
      </c>
      <c r="G528" s="34">
        <f>G529+G561+G569+G577</f>
        <v>13510.5</v>
      </c>
      <c r="H528" s="34">
        <f>H529+H561+H569+H577</f>
        <v>14510.8</v>
      </c>
    </row>
    <row r="529" spans="1:8" ht="12.75">
      <c r="A529" s="57" t="s">
        <v>38</v>
      </c>
      <c r="B529" s="57" t="s">
        <v>60</v>
      </c>
      <c r="C529" s="57" t="s">
        <v>72</v>
      </c>
      <c r="D529" s="57" t="s">
        <v>72</v>
      </c>
      <c r="E529" s="16" t="s">
        <v>25</v>
      </c>
      <c r="F529" s="28">
        <f>F530</f>
        <v>8648.1</v>
      </c>
      <c r="G529" s="28">
        <f aca="true" t="shared" si="189" ref="G529:H529">G530</f>
        <v>3575</v>
      </c>
      <c r="H529" s="28">
        <f t="shared" si="189"/>
        <v>3575</v>
      </c>
    </row>
    <row r="530" spans="1:8" ht="12.75">
      <c r="A530" s="57" t="s">
        <v>38</v>
      </c>
      <c r="B530" s="57" t="s">
        <v>66</v>
      </c>
      <c r="C530" s="57" t="s">
        <v>72</v>
      </c>
      <c r="D530" s="57" t="s">
        <v>72</v>
      </c>
      <c r="E530" s="56" t="s">
        <v>28</v>
      </c>
      <c r="F530" s="28">
        <f>F531+F549</f>
        <v>8648.1</v>
      </c>
      <c r="G530" s="28">
        <f>G531+G549</f>
        <v>3575</v>
      </c>
      <c r="H530" s="28">
        <f>H531+H549</f>
        <v>3575</v>
      </c>
    </row>
    <row r="531" spans="1:8" ht="47.25">
      <c r="A531" s="57" t="s">
        <v>38</v>
      </c>
      <c r="B531" s="57" t="s">
        <v>66</v>
      </c>
      <c r="C531" s="57">
        <v>1600000000</v>
      </c>
      <c r="D531" s="57"/>
      <c r="E531" s="90" t="s">
        <v>140</v>
      </c>
      <c r="F531" s="28">
        <f>F532+F544</f>
        <v>3433.4999999999995</v>
      </c>
      <c r="G531" s="28">
        <f aca="true" t="shared" si="190" ref="G531:H531">G532+G544</f>
        <v>208</v>
      </c>
      <c r="H531" s="28">
        <f t="shared" si="190"/>
        <v>208</v>
      </c>
    </row>
    <row r="532" spans="1:8" ht="31.5">
      <c r="A532" s="57" t="s">
        <v>38</v>
      </c>
      <c r="B532" s="57" t="s">
        <v>66</v>
      </c>
      <c r="C532" s="57">
        <v>1620000000</v>
      </c>
      <c r="D532" s="57"/>
      <c r="E532" s="56" t="s">
        <v>133</v>
      </c>
      <c r="F532" s="28">
        <f>F533+F540</f>
        <v>3427.4999999999995</v>
      </c>
      <c r="G532" s="28">
        <f aca="true" t="shared" si="191" ref="G532:H532">G533+G540</f>
        <v>208</v>
      </c>
      <c r="H532" s="28">
        <f t="shared" si="191"/>
        <v>208</v>
      </c>
    </row>
    <row r="533" spans="1:8" ht="12.75">
      <c r="A533" s="57" t="s">
        <v>38</v>
      </c>
      <c r="B533" s="57" t="s">
        <v>66</v>
      </c>
      <c r="C533" s="57">
        <v>1620100000</v>
      </c>
      <c r="D533" s="57"/>
      <c r="E533" s="56" t="s">
        <v>134</v>
      </c>
      <c r="F533" s="28">
        <f>F534+F537</f>
        <v>3167.4999999999995</v>
      </c>
      <c r="G533" s="28">
        <f aca="true" t="shared" si="192" ref="G533:H533">G534+G537</f>
        <v>208</v>
      </c>
      <c r="H533" s="28">
        <f t="shared" si="192"/>
        <v>208</v>
      </c>
    </row>
    <row r="534" spans="1:8" ht="12.75">
      <c r="A534" s="57" t="s">
        <v>38</v>
      </c>
      <c r="B534" s="57" t="s">
        <v>66</v>
      </c>
      <c r="C534" s="57">
        <v>1620120210</v>
      </c>
      <c r="D534" s="25"/>
      <c r="E534" s="56" t="s">
        <v>135</v>
      </c>
      <c r="F534" s="28">
        <f>F535</f>
        <v>2959.4999999999995</v>
      </c>
      <c r="G534" s="28">
        <f aca="true" t="shared" si="193" ref="G534:H535">G535</f>
        <v>0</v>
      </c>
      <c r="H534" s="28">
        <f t="shared" si="193"/>
        <v>0</v>
      </c>
    </row>
    <row r="535" spans="1:8" ht="31.5">
      <c r="A535" s="57" t="s">
        <v>38</v>
      </c>
      <c r="B535" s="57" t="s">
        <v>66</v>
      </c>
      <c r="C535" s="57">
        <v>1620120210</v>
      </c>
      <c r="D535" s="57" t="s">
        <v>75</v>
      </c>
      <c r="E535" s="56" t="s">
        <v>110</v>
      </c>
      <c r="F535" s="28">
        <f>F536</f>
        <v>2959.4999999999995</v>
      </c>
      <c r="G535" s="28">
        <f t="shared" si="193"/>
        <v>0</v>
      </c>
      <c r="H535" s="28">
        <f t="shared" si="193"/>
        <v>0</v>
      </c>
    </row>
    <row r="536" spans="1:8" ht="34.9" customHeight="1">
      <c r="A536" s="57" t="s">
        <v>38</v>
      </c>
      <c r="B536" s="57" t="s">
        <v>66</v>
      </c>
      <c r="C536" s="57">
        <v>1620120210</v>
      </c>
      <c r="D536" s="55">
        <v>240</v>
      </c>
      <c r="E536" s="199" t="s">
        <v>469</v>
      </c>
      <c r="F536" s="28">
        <f>2122.2+1038.1-130.8-70</f>
        <v>2959.4999999999995</v>
      </c>
      <c r="G536" s="28">
        <v>0</v>
      </c>
      <c r="H536" s="28">
        <v>0</v>
      </c>
    </row>
    <row r="537" spans="1:8" ht="31.5">
      <c r="A537" s="57" t="s">
        <v>38</v>
      </c>
      <c r="B537" s="57" t="s">
        <v>66</v>
      </c>
      <c r="C537" s="57">
        <v>1620120220</v>
      </c>
      <c r="D537" s="55"/>
      <c r="E537" s="56" t="s">
        <v>132</v>
      </c>
      <c r="F537" s="28">
        <f>F538</f>
        <v>208</v>
      </c>
      <c r="G537" s="28">
        <f aca="true" t="shared" si="194" ref="G537:H538">G538</f>
        <v>208</v>
      </c>
      <c r="H537" s="28">
        <f t="shared" si="194"/>
        <v>208</v>
      </c>
    </row>
    <row r="538" spans="1:8" ht="31.5">
      <c r="A538" s="57" t="s">
        <v>38</v>
      </c>
      <c r="B538" s="57" t="s">
        <v>66</v>
      </c>
      <c r="C538" s="57">
        <v>1620120220</v>
      </c>
      <c r="D538" s="57" t="s">
        <v>75</v>
      </c>
      <c r="E538" s="56" t="s">
        <v>110</v>
      </c>
      <c r="F538" s="28">
        <f>F539</f>
        <v>208</v>
      </c>
      <c r="G538" s="28">
        <f t="shared" si="194"/>
        <v>208</v>
      </c>
      <c r="H538" s="28">
        <f t="shared" si="194"/>
        <v>208</v>
      </c>
    </row>
    <row r="539" spans="1:8" ht="32.45" customHeight="1">
      <c r="A539" s="57" t="s">
        <v>38</v>
      </c>
      <c r="B539" s="57" t="s">
        <v>66</v>
      </c>
      <c r="C539" s="57">
        <v>1620120220</v>
      </c>
      <c r="D539" s="55">
        <v>240</v>
      </c>
      <c r="E539" s="199" t="s">
        <v>469</v>
      </c>
      <c r="F539" s="28">
        <v>208</v>
      </c>
      <c r="G539" s="28">
        <v>208</v>
      </c>
      <c r="H539" s="28">
        <v>208</v>
      </c>
    </row>
    <row r="540" spans="1:8" ht="32.45" customHeight="1">
      <c r="A540" s="94" t="s">
        <v>38</v>
      </c>
      <c r="B540" s="94" t="s">
        <v>66</v>
      </c>
      <c r="C540" s="94">
        <v>1620300000</v>
      </c>
      <c r="D540" s="94"/>
      <c r="E540" s="93" t="s">
        <v>374</v>
      </c>
      <c r="F540" s="28">
        <f>F541</f>
        <v>260</v>
      </c>
      <c r="G540" s="28">
        <f aca="true" t="shared" si="195" ref="G540:H542">G541</f>
        <v>0</v>
      </c>
      <c r="H540" s="28">
        <f t="shared" si="195"/>
        <v>0</v>
      </c>
    </row>
    <row r="541" spans="1:8" ht="32.45" customHeight="1">
      <c r="A541" s="94" t="s">
        <v>38</v>
      </c>
      <c r="B541" s="94" t="s">
        <v>66</v>
      </c>
      <c r="C541" s="94">
        <v>1620320030</v>
      </c>
      <c r="D541" s="92"/>
      <c r="E541" s="93" t="s">
        <v>375</v>
      </c>
      <c r="F541" s="28">
        <f>F542</f>
        <v>260</v>
      </c>
      <c r="G541" s="28">
        <f t="shared" si="195"/>
        <v>0</v>
      </c>
      <c r="H541" s="28">
        <f t="shared" si="195"/>
        <v>0</v>
      </c>
    </row>
    <row r="542" spans="1:8" ht="32.45" customHeight="1">
      <c r="A542" s="94" t="s">
        <v>38</v>
      </c>
      <c r="B542" s="94" t="s">
        <v>66</v>
      </c>
      <c r="C542" s="94">
        <v>1620320030</v>
      </c>
      <c r="D542" s="94" t="s">
        <v>75</v>
      </c>
      <c r="E542" s="93" t="s">
        <v>110</v>
      </c>
      <c r="F542" s="28">
        <f>F543</f>
        <v>260</v>
      </c>
      <c r="G542" s="28">
        <f t="shared" si="195"/>
        <v>0</v>
      </c>
      <c r="H542" s="28">
        <f t="shared" si="195"/>
        <v>0</v>
      </c>
    </row>
    <row r="543" spans="1:8" ht="32.45" customHeight="1">
      <c r="A543" s="94" t="s">
        <v>38</v>
      </c>
      <c r="B543" s="94" t="s">
        <v>66</v>
      </c>
      <c r="C543" s="94">
        <v>1620320030</v>
      </c>
      <c r="D543" s="92">
        <v>240</v>
      </c>
      <c r="E543" s="199" t="s">
        <v>469</v>
      </c>
      <c r="F543" s="28">
        <v>260</v>
      </c>
      <c r="G543" s="28">
        <v>0</v>
      </c>
      <c r="H543" s="28">
        <v>0</v>
      </c>
    </row>
    <row r="544" spans="1:8" ht="47.25">
      <c r="A544" s="77" t="s">
        <v>38</v>
      </c>
      <c r="B544" s="75" t="s">
        <v>66</v>
      </c>
      <c r="C544" s="77">
        <v>1630000000</v>
      </c>
      <c r="D544" s="75"/>
      <c r="E544" s="76" t="s">
        <v>286</v>
      </c>
      <c r="F544" s="28">
        <f>F545</f>
        <v>6</v>
      </c>
      <c r="G544" s="28">
        <f aca="true" t="shared" si="196" ref="G544:H547">G545</f>
        <v>0</v>
      </c>
      <c r="H544" s="28">
        <f t="shared" si="196"/>
        <v>0</v>
      </c>
    </row>
    <row r="545" spans="1:8" ht="47.25">
      <c r="A545" s="77" t="s">
        <v>38</v>
      </c>
      <c r="B545" s="77" t="s">
        <v>66</v>
      </c>
      <c r="C545" s="75">
        <v>1630100000</v>
      </c>
      <c r="D545" s="75"/>
      <c r="E545" s="76" t="s">
        <v>287</v>
      </c>
      <c r="F545" s="28">
        <f>F546</f>
        <v>6</v>
      </c>
      <c r="G545" s="28">
        <f t="shared" si="196"/>
        <v>0</v>
      </c>
      <c r="H545" s="28">
        <f t="shared" si="196"/>
        <v>0</v>
      </c>
    </row>
    <row r="546" spans="1:8" ht="47.25">
      <c r="A546" s="77" t="s">
        <v>38</v>
      </c>
      <c r="B546" s="75" t="s">
        <v>66</v>
      </c>
      <c r="C546" s="75">
        <v>1630120180</v>
      </c>
      <c r="D546" s="75"/>
      <c r="E546" s="76" t="s">
        <v>288</v>
      </c>
      <c r="F546" s="28">
        <f>F547</f>
        <v>6</v>
      </c>
      <c r="G546" s="28">
        <f t="shared" si="196"/>
        <v>0</v>
      </c>
      <c r="H546" s="28">
        <f t="shared" si="196"/>
        <v>0</v>
      </c>
    </row>
    <row r="547" spans="1:8" ht="31.5">
      <c r="A547" s="77" t="s">
        <v>38</v>
      </c>
      <c r="B547" s="77" t="s">
        <v>66</v>
      </c>
      <c r="C547" s="75">
        <v>1630120180</v>
      </c>
      <c r="D547" s="75" t="s">
        <v>75</v>
      </c>
      <c r="E547" s="76" t="s">
        <v>110</v>
      </c>
      <c r="F547" s="28">
        <f>F548</f>
        <v>6</v>
      </c>
      <c r="G547" s="28">
        <f t="shared" si="196"/>
        <v>0</v>
      </c>
      <c r="H547" s="28">
        <f t="shared" si="196"/>
        <v>0</v>
      </c>
    </row>
    <row r="548" spans="1:8" ht="30.6" customHeight="1">
      <c r="A548" s="77" t="s">
        <v>38</v>
      </c>
      <c r="B548" s="77" t="s">
        <v>66</v>
      </c>
      <c r="C548" s="75">
        <v>1630120180</v>
      </c>
      <c r="D548" s="75">
        <v>240</v>
      </c>
      <c r="E548" s="76" t="s">
        <v>469</v>
      </c>
      <c r="F548" s="28">
        <v>6</v>
      </c>
      <c r="G548" s="28">
        <v>0</v>
      </c>
      <c r="H548" s="28">
        <v>0</v>
      </c>
    </row>
    <row r="549" spans="1:8" ht="12.75">
      <c r="A549" s="57" t="s">
        <v>38</v>
      </c>
      <c r="B549" s="57" t="s">
        <v>66</v>
      </c>
      <c r="C549" s="57" t="s">
        <v>136</v>
      </c>
      <c r="D549" s="57" t="s">
        <v>72</v>
      </c>
      <c r="E549" s="56" t="s">
        <v>131</v>
      </c>
      <c r="F549" s="28">
        <f>F554+F550</f>
        <v>5214.6</v>
      </c>
      <c r="G549" s="28">
        <f aca="true" t="shared" si="197" ref="G549:H549">G554+G550</f>
        <v>3367</v>
      </c>
      <c r="H549" s="28">
        <f t="shared" si="197"/>
        <v>3367</v>
      </c>
    </row>
    <row r="550" spans="1:8" ht="31.5">
      <c r="A550" s="70" t="s">
        <v>38</v>
      </c>
      <c r="B550" s="70" t="s">
        <v>66</v>
      </c>
      <c r="C550" s="68">
        <v>9930000000</v>
      </c>
      <c r="D550" s="68"/>
      <c r="E550" s="69" t="s">
        <v>212</v>
      </c>
      <c r="F550" s="28">
        <f>F551</f>
        <v>1047.6</v>
      </c>
      <c r="G550" s="28">
        <f aca="true" t="shared" si="198" ref="G550:H552">G551</f>
        <v>0</v>
      </c>
      <c r="H550" s="28">
        <f t="shared" si="198"/>
        <v>0</v>
      </c>
    </row>
    <row r="551" spans="1:8" ht="31.5">
      <c r="A551" s="70" t="s">
        <v>38</v>
      </c>
      <c r="B551" s="70" t="s">
        <v>66</v>
      </c>
      <c r="C551" s="68">
        <v>9930020490</v>
      </c>
      <c r="D551" s="68"/>
      <c r="E551" s="161" t="s">
        <v>347</v>
      </c>
      <c r="F551" s="28">
        <f>F552</f>
        <v>1047.6</v>
      </c>
      <c r="G551" s="28">
        <f t="shared" si="198"/>
        <v>0</v>
      </c>
      <c r="H551" s="28">
        <f t="shared" si="198"/>
        <v>0</v>
      </c>
    </row>
    <row r="552" spans="1:8" ht="12.75">
      <c r="A552" s="70" t="s">
        <v>38</v>
      </c>
      <c r="B552" s="70" t="s">
        <v>66</v>
      </c>
      <c r="C552" s="68">
        <v>9930020490</v>
      </c>
      <c r="D552" s="13" t="s">
        <v>76</v>
      </c>
      <c r="E552" s="73" t="s">
        <v>77</v>
      </c>
      <c r="F552" s="28">
        <f>F553</f>
        <v>1047.6</v>
      </c>
      <c r="G552" s="28">
        <f t="shared" si="198"/>
        <v>0</v>
      </c>
      <c r="H552" s="28">
        <f t="shared" si="198"/>
        <v>0</v>
      </c>
    </row>
    <row r="553" spans="1:8" ht="12.75">
      <c r="A553" s="70" t="s">
        <v>38</v>
      </c>
      <c r="B553" s="70" t="s">
        <v>66</v>
      </c>
      <c r="C553" s="68">
        <v>9930020490</v>
      </c>
      <c r="D553" s="1" t="s">
        <v>348</v>
      </c>
      <c r="E553" s="22" t="s">
        <v>349</v>
      </c>
      <c r="F553" s="28">
        <f>4.5+1043.1</f>
        <v>1047.6</v>
      </c>
      <c r="G553" s="28">
        <v>0</v>
      </c>
      <c r="H553" s="28">
        <v>0</v>
      </c>
    </row>
    <row r="554" spans="1:8" ht="31.5">
      <c r="A554" s="57" t="s">
        <v>38</v>
      </c>
      <c r="B554" s="57" t="s">
        <v>66</v>
      </c>
      <c r="C554" s="55">
        <v>9990000000</v>
      </c>
      <c r="D554" s="55"/>
      <c r="E554" s="56" t="s">
        <v>199</v>
      </c>
      <c r="F554" s="28">
        <f>F555</f>
        <v>4167</v>
      </c>
      <c r="G554" s="28">
        <f aca="true" t="shared" si="199" ref="G554:H555">G555</f>
        <v>3367</v>
      </c>
      <c r="H554" s="28">
        <f t="shared" si="199"/>
        <v>3367</v>
      </c>
    </row>
    <row r="555" spans="1:8" ht="31.5">
      <c r="A555" s="57" t="s">
        <v>38</v>
      </c>
      <c r="B555" s="57" t="s">
        <v>66</v>
      </c>
      <c r="C555" s="55">
        <v>9990200000</v>
      </c>
      <c r="D555" s="31"/>
      <c r="E555" s="56" t="s">
        <v>145</v>
      </c>
      <c r="F555" s="28">
        <f>F556</f>
        <v>4167</v>
      </c>
      <c r="G555" s="28">
        <f t="shared" si="199"/>
        <v>3367</v>
      </c>
      <c r="H555" s="28">
        <f t="shared" si="199"/>
        <v>3367</v>
      </c>
    </row>
    <row r="556" spans="1:8" ht="47.25">
      <c r="A556" s="57" t="s">
        <v>38</v>
      </c>
      <c r="B556" s="57" t="s">
        <v>66</v>
      </c>
      <c r="C556" s="55">
        <v>9990225000</v>
      </c>
      <c r="D556" s="55"/>
      <c r="E556" s="56" t="s">
        <v>146</v>
      </c>
      <c r="F556" s="28">
        <f>F557+F559</f>
        <v>4167</v>
      </c>
      <c r="G556" s="28">
        <f aca="true" t="shared" si="200" ref="G556:H556">G557+G559</f>
        <v>3367</v>
      </c>
      <c r="H556" s="28">
        <f t="shared" si="200"/>
        <v>3367</v>
      </c>
    </row>
    <row r="557" spans="1:8" ht="63">
      <c r="A557" s="57" t="s">
        <v>38</v>
      </c>
      <c r="B557" s="57" t="s">
        <v>66</v>
      </c>
      <c r="C557" s="55">
        <v>9990225000</v>
      </c>
      <c r="D557" s="57" t="s">
        <v>74</v>
      </c>
      <c r="E557" s="56" t="s">
        <v>2</v>
      </c>
      <c r="F557" s="28">
        <f>F558</f>
        <v>4109</v>
      </c>
      <c r="G557" s="28">
        <f aca="true" t="shared" si="201" ref="G557:H557">G558</f>
        <v>3367</v>
      </c>
      <c r="H557" s="28">
        <f t="shared" si="201"/>
        <v>3367</v>
      </c>
    </row>
    <row r="558" spans="1:8" ht="34.9" customHeight="1">
      <c r="A558" s="57" t="s">
        <v>38</v>
      </c>
      <c r="B558" s="57" t="s">
        <v>66</v>
      </c>
      <c r="C558" s="55">
        <v>9990225000</v>
      </c>
      <c r="D558" s="55">
        <v>120</v>
      </c>
      <c r="E558" s="56" t="s">
        <v>471</v>
      </c>
      <c r="F558" s="28">
        <f>1350.2+2505.1+253.7</f>
        <v>4109</v>
      </c>
      <c r="G558" s="28">
        <v>3367</v>
      </c>
      <c r="H558" s="28">
        <v>3367</v>
      </c>
    </row>
    <row r="559" spans="1:8" ht="31.5">
      <c r="A559" s="57" t="s">
        <v>38</v>
      </c>
      <c r="B559" s="57" t="s">
        <v>66</v>
      </c>
      <c r="C559" s="55">
        <v>9990225000</v>
      </c>
      <c r="D559" s="57" t="s">
        <v>75</v>
      </c>
      <c r="E559" s="56" t="s">
        <v>110</v>
      </c>
      <c r="F559" s="28">
        <f>F560</f>
        <v>58</v>
      </c>
      <c r="G559" s="28">
        <f aca="true" t="shared" si="202" ref="G559:H559">G560</f>
        <v>0</v>
      </c>
      <c r="H559" s="28">
        <f t="shared" si="202"/>
        <v>0</v>
      </c>
    </row>
    <row r="560" spans="1:8" ht="31.15" customHeight="1">
      <c r="A560" s="57" t="s">
        <v>38</v>
      </c>
      <c r="B560" s="57" t="s">
        <v>66</v>
      </c>
      <c r="C560" s="55">
        <v>9990225000</v>
      </c>
      <c r="D560" s="55">
        <v>240</v>
      </c>
      <c r="E560" s="199" t="s">
        <v>469</v>
      </c>
      <c r="F560" s="28">
        <v>58</v>
      </c>
      <c r="G560" s="28">
        <v>0</v>
      </c>
      <c r="H560" s="28">
        <v>0</v>
      </c>
    </row>
    <row r="561" spans="1:8" ht="12.75">
      <c r="A561" s="57" t="s">
        <v>38</v>
      </c>
      <c r="B561" s="57" t="s">
        <v>62</v>
      </c>
      <c r="C561" s="57" t="s">
        <v>72</v>
      </c>
      <c r="D561" s="57" t="s">
        <v>72</v>
      </c>
      <c r="E561" s="56" t="s">
        <v>30</v>
      </c>
      <c r="F561" s="28">
        <f aca="true" t="shared" si="203" ref="F561:H567">F562</f>
        <v>300</v>
      </c>
      <c r="G561" s="28">
        <f t="shared" si="203"/>
        <v>500</v>
      </c>
      <c r="H561" s="28">
        <f t="shared" si="203"/>
        <v>500</v>
      </c>
    </row>
    <row r="562" spans="1:8" ht="12.75">
      <c r="A562" s="57" t="s">
        <v>38</v>
      </c>
      <c r="B562" s="57" t="s">
        <v>54</v>
      </c>
      <c r="C562" s="57" t="s">
        <v>72</v>
      </c>
      <c r="D562" s="57" t="s">
        <v>72</v>
      </c>
      <c r="E562" s="56" t="s">
        <v>31</v>
      </c>
      <c r="F562" s="28">
        <f t="shared" si="203"/>
        <v>300</v>
      </c>
      <c r="G562" s="28">
        <f t="shared" si="203"/>
        <v>500</v>
      </c>
      <c r="H562" s="28">
        <f t="shared" si="203"/>
        <v>500</v>
      </c>
    </row>
    <row r="563" spans="1:8" ht="47.25">
      <c r="A563" s="57" t="s">
        <v>38</v>
      </c>
      <c r="B563" s="57" t="s">
        <v>54</v>
      </c>
      <c r="C563" s="57">
        <v>1600000000</v>
      </c>
      <c r="D563" s="57"/>
      <c r="E563" s="56" t="s">
        <v>140</v>
      </c>
      <c r="F563" s="28">
        <f t="shared" si="203"/>
        <v>300</v>
      </c>
      <c r="G563" s="28">
        <f t="shared" si="203"/>
        <v>500</v>
      </c>
      <c r="H563" s="28">
        <f t="shared" si="203"/>
        <v>500</v>
      </c>
    </row>
    <row r="564" spans="1:8" ht="31.5">
      <c r="A564" s="57" t="s">
        <v>38</v>
      </c>
      <c r="B564" s="57" t="s">
        <v>54</v>
      </c>
      <c r="C564" s="57">
        <v>1620000000</v>
      </c>
      <c r="D564" s="57"/>
      <c r="E564" s="56" t="s">
        <v>133</v>
      </c>
      <c r="F564" s="28">
        <f t="shared" si="203"/>
        <v>300</v>
      </c>
      <c r="G564" s="28">
        <f t="shared" si="203"/>
        <v>500</v>
      </c>
      <c r="H564" s="28">
        <f t="shared" si="203"/>
        <v>500</v>
      </c>
    </row>
    <row r="565" spans="1:8" ht="12.75">
      <c r="A565" s="57" t="s">
        <v>38</v>
      </c>
      <c r="B565" s="57" t="s">
        <v>54</v>
      </c>
      <c r="C565" s="57">
        <v>1620100000</v>
      </c>
      <c r="D565" s="57"/>
      <c r="E565" s="56" t="s">
        <v>134</v>
      </c>
      <c r="F565" s="28">
        <f t="shared" si="203"/>
        <v>300</v>
      </c>
      <c r="G565" s="28">
        <f t="shared" si="203"/>
        <v>500</v>
      </c>
      <c r="H565" s="28">
        <f t="shared" si="203"/>
        <v>500</v>
      </c>
    </row>
    <row r="566" spans="1:8" ht="31.5">
      <c r="A566" s="57" t="s">
        <v>38</v>
      </c>
      <c r="B566" s="57" t="s">
        <v>54</v>
      </c>
      <c r="C566" s="57">
        <v>1620120240</v>
      </c>
      <c r="D566" s="57"/>
      <c r="E566" s="56" t="s">
        <v>137</v>
      </c>
      <c r="F566" s="28">
        <f t="shared" si="203"/>
        <v>300</v>
      </c>
      <c r="G566" s="28">
        <f t="shared" si="203"/>
        <v>500</v>
      </c>
      <c r="H566" s="28">
        <f t="shared" si="203"/>
        <v>500</v>
      </c>
    </row>
    <row r="567" spans="1:8" ht="31.5">
      <c r="A567" s="57" t="s">
        <v>38</v>
      </c>
      <c r="B567" s="57" t="s">
        <v>54</v>
      </c>
      <c r="C567" s="57">
        <v>1620120240</v>
      </c>
      <c r="D567" s="57" t="s">
        <v>75</v>
      </c>
      <c r="E567" s="56" t="s">
        <v>110</v>
      </c>
      <c r="F567" s="28">
        <f t="shared" si="203"/>
        <v>300</v>
      </c>
      <c r="G567" s="28">
        <f t="shared" si="203"/>
        <v>500</v>
      </c>
      <c r="H567" s="28">
        <f t="shared" si="203"/>
        <v>500</v>
      </c>
    </row>
    <row r="568" spans="1:8" ht="34.15" customHeight="1">
      <c r="A568" s="57" t="s">
        <v>38</v>
      </c>
      <c r="B568" s="57" t="s">
        <v>54</v>
      </c>
      <c r="C568" s="57">
        <v>1620120240</v>
      </c>
      <c r="D568" s="55">
        <v>240</v>
      </c>
      <c r="E568" s="56" t="s">
        <v>469</v>
      </c>
      <c r="F568" s="28">
        <f>500-200</f>
        <v>300</v>
      </c>
      <c r="G568" s="28">
        <v>500</v>
      </c>
      <c r="H568" s="28">
        <v>500</v>
      </c>
    </row>
    <row r="569" spans="1:8" ht="12.75">
      <c r="A569" s="57" t="s">
        <v>38</v>
      </c>
      <c r="B569" s="57" t="s">
        <v>63</v>
      </c>
      <c r="C569" s="57" t="s">
        <v>72</v>
      </c>
      <c r="D569" s="57" t="s">
        <v>72</v>
      </c>
      <c r="E569" s="56" t="s">
        <v>32</v>
      </c>
      <c r="F569" s="28">
        <f aca="true" t="shared" si="204" ref="F569:H575">F570</f>
        <v>1433.7</v>
      </c>
      <c r="G569" s="28">
        <f t="shared" si="204"/>
        <v>1433.7</v>
      </c>
      <c r="H569" s="28">
        <f t="shared" si="204"/>
        <v>1433.7</v>
      </c>
    </row>
    <row r="570" spans="1:8" ht="12.75">
      <c r="A570" s="57" t="s">
        <v>38</v>
      </c>
      <c r="B570" s="57" t="s">
        <v>7</v>
      </c>
      <c r="C570" s="57" t="s">
        <v>72</v>
      </c>
      <c r="D570" s="57" t="s">
        <v>72</v>
      </c>
      <c r="E570" s="56" t="s">
        <v>8</v>
      </c>
      <c r="F570" s="28">
        <f t="shared" si="204"/>
        <v>1433.7</v>
      </c>
      <c r="G570" s="28">
        <f t="shared" si="204"/>
        <v>1433.7</v>
      </c>
      <c r="H570" s="28">
        <f t="shared" si="204"/>
        <v>1433.7</v>
      </c>
    </row>
    <row r="571" spans="1:8" ht="47.25">
      <c r="A571" s="57" t="s">
        <v>38</v>
      </c>
      <c r="B571" s="57" t="s">
        <v>7</v>
      </c>
      <c r="C571" s="57">
        <v>1600000000</v>
      </c>
      <c r="D571" s="57"/>
      <c r="E571" s="56" t="s">
        <v>140</v>
      </c>
      <c r="F571" s="28">
        <f t="shared" si="204"/>
        <v>1433.7</v>
      </c>
      <c r="G571" s="28">
        <f t="shared" si="204"/>
        <v>1433.7</v>
      </c>
      <c r="H571" s="28">
        <f t="shared" si="204"/>
        <v>1433.7</v>
      </c>
    </row>
    <row r="572" spans="1:8" ht="31.5">
      <c r="A572" s="57" t="s">
        <v>38</v>
      </c>
      <c r="B572" s="57" t="s">
        <v>7</v>
      </c>
      <c r="C572" s="57">
        <v>1620000000</v>
      </c>
      <c r="D572" s="57"/>
      <c r="E572" s="56" t="s">
        <v>133</v>
      </c>
      <c r="F572" s="28">
        <f t="shared" si="204"/>
        <v>1433.7</v>
      </c>
      <c r="G572" s="28">
        <f t="shared" si="204"/>
        <v>1433.7</v>
      </c>
      <c r="H572" s="28">
        <f t="shared" si="204"/>
        <v>1433.7</v>
      </c>
    </row>
    <row r="573" spans="1:8" ht="12.75">
      <c r="A573" s="57" t="s">
        <v>38</v>
      </c>
      <c r="B573" s="57" t="s">
        <v>7</v>
      </c>
      <c r="C573" s="57">
        <v>1620100000</v>
      </c>
      <c r="D573" s="57"/>
      <c r="E573" s="56" t="s">
        <v>134</v>
      </c>
      <c r="F573" s="28">
        <f t="shared" si="204"/>
        <v>1433.7</v>
      </c>
      <c r="G573" s="28">
        <f t="shared" si="204"/>
        <v>1433.7</v>
      </c>
      <c r="H573" s="28">
        <f t="shared" si="204"/>
        <v>1433.7</v>
      </c>
    </row>
    <row r="574" spans="1:8" ht="47.25">
      <c r="A574" s="57" t="s">
        <v>38</v>
      </c>
      <c r="B574" s="57" t="s">
        <v>7</v>
      </c>
      <c r="C574" s="57">
        <v>1620120230</v>
      </c>
      <c r="D574" s="57"/>
      <c r="E574" s="56" t="s">
        <v>139</v>
      </c>
      <c r="F574" s="28">
        <f t="shared" si="204"/>
        <v>1433.7</v>
      </c>
      <c r="G574" s="28">
        <f t="shared" si="204"/>
        <v>1433.7</v>
      </c>
      <c r="H574" s="28">
        <f t="shared" si="204"/>
        <v>1433.7</v>
      </c>
    </row>
    <row r="575" spans="1:8" ht="31.5">
      <c r="A575" s="57" t="s">
        <v>38</v>
      </c>
      <c r="B575" s="57" t="s">
        <v>7</v>
      </c>
      <c r="C575" s="57">
        <v>1620120230</v>
      </c>
      <c r="D575" s="57" t="s">
        <v>75</v>
      </c>
      <c r="E575" s="56" t="s">
        <v>110</v>
      </c>
      <c r="F575" s="28">
        <f t="shared" si="204"/>
        <v>1433.7</v>
      </c>
      <c r="G575" s="28">
        <f t="shared" si="204"/>
        <v>1433.7</v>
      </c>
      <c r="H575" s="28">
        <f t="shared" si="204"/>
        <v>1433.7</v>
      </c>
    </row>
    <row r="576" spans="1:8" ht="31.5">
      <c r="A576" s="57" t="s">
        <v>38</v>
      </c>
      <c r="B576" s="57" t="s">
        <v>7</v>
      </c>
      <c r="C576" s="57">
        <v>1620120230</v>
      </c>
      <c r="D576" s="55">
        <v>240</v>
      </c>
      <c r="E576" s="198" t="s">
        <v>469</v>
      </c>
      <c r="F576" s="28">
        <v>1433.7</v>
      </c>
      <c r="G576" s="28">
        <v>1433.7</v>
      </c>
      <c r="H576" s="28">
        <v>1433.7</v>
      </c>
    </row>
    <row r="577" spans="1:8" ht="12.75">
      <c r="A577" s="57" t="s">
        <v>38</v>
      </c>
      <c r="B577" s="57" t="s">
        <v>44</v>
      </c>
      <c r="C577" s="57" t="s">
        <v>72</v>
      </c>
      <c r="D577" s="57" t="s">
        <v>72</v>
      </c>
      <c r="E577" s="56" t="s">
        <v>36</v>
      </c>
      <c r="F577" s="28">
        <f>F588+F578</f>
        <v>17321.8</v>
      </c>
      <c r="G577" s="28">
        <f aca="true" t="shared" si="205" ref="G577:H577">G588+G578</f>
        <v>8001.8</v>
      </c>
      <c r="H577" s="28">
        <f t="shared" si="205"/>
        <v>9002.1</v>
      </c>
    </row>
    <row r="578" spans="1:8" ht="12.75">
      <c r="A578" s="70" t="s">
        <v>38</v>
      </c>
      <c r="B578" s="68" t="s">
        <v>45</v>
      </c>
      <c r="C578" s="68" t="s">
        <v>72</v>
      </c>
      <c r="D578" s="68" t="s">
        <v>72</v>
      </c>
      <c r="E578" s="69" t="s">
        <v>39</v>
      </c>
      <c r="F578" s="28">
        <f aca="true" t="shared" si="206" ref="F578:F586">F579</f>
        <v>6319.3</v>
      </c>
      <c r="G578" s="28">
        <f aca="true" t="shared" si="207" ref="G578:H586">G579</f>
        <v>0</v>
      </c>
      <c r="H578" s="28">
        <f t="shared" si="207"/>
        <v>0</v>
      </c>
    </row>
    <row r="579" spans="1:8" ht="47.25">
      <c r="A579" s="70" t="s">
        <v>38</v>
      </c>
      <c r="B579" s="68" t="s">
        <v>45</v>
      </c>
      <c r="C579" s="70">
        <v>1600000000</v>
      </c>
      <c r="D579" s="70"/>
      <c r="E579" s="69" t="s">
        <v>140</v>
      </c>
      <c r="F579" s="28">
        <f t="shared" si="206"/>
        <v>6319.3</v>
      </c>
      <c r="G579" s="28">
        <f t="shared" si="207"/>
        <v>0</v>
      </c>
      <c r="H579" s="28">
        <f t="shared" si="207"/>
        <v>0</v>
      </c>
    </row>
    <row r="580" spans="1:8" ht="31.5">
      <c r="A580" s="70" t="s">
        <v>38</v>
      </c>
      <c r="B580" s="68" t="s">
        <v>45</v>
      </c>
      <c r="C580" s="70">
        <v>1620000000</v>
      </c>
      <c r="D580" s="70"/>
      <c r="E580" s="69" t="s">
        <v>133</v>
      </c>
      <c r="F580" s="28">
        <f t="shared" si="206"/>
        <v>6319.3</v>
      </c>
      <c r="G580" s="28">
        <f t="shared" si="207"/>
        <v>0</v>
      </c>
      <c r="H580" s="28">
        <f t="shared" si="207"/>
        <v>0</v>
      </c>
    </row>
    <row r="581" spans="1:8" ht="31.5">
      <c r="A581" s="70" t="s">
        <v>38</v>
      </c>
      <c r="B581" s="68" t="s">
        <v>45</v>
      </c>
      <c r="C581" s="70">
        <v>1620200000</v>
      </c>
      <c r="D581" s="70"/>
      <c r="E581" s="69" t="s">
        <v>138</v>
      </c>
      <c r="F581" s="28">
        <f>F585+F582</f>
        <v>6319.3</v>
      </c>
      <c r="G581" s="28">
        <f aca="true" t="shared" si="208" ref="G581:H581">G585+G582</f>
        <v>0</v>
      </c>
      <c r="H581" s="28">
        <f t="shared" si="208"/>
        <v>0</v>
      </c>
    </row>
    <row r="582" spans="1:8" ht="47.25">
      <c r="A582" s="114" t="s">
        <v>38</v>
      </c>
      <c r="B582" s="112" t="s">
        <v>45</v>
      </c>
      <c r="C582" s="114">
        <v>1620210290</v>
      </c>
      <c r="D582" s="114"/>
      <c r="E582" s="113" t="s">
        <v>385</v>
      </c>
      <c r="F582" s="28">
        <f>F583</f>
        <v>4423.5</v>
      </c>
      <c r="G582" s="28">
        <f aca="true" t="shared" si="209" ref="G582:H583">G583</f>
        <v>0</v>
      </c>
      <c r="H582" s="28">
        <f t="shared" si="209"/>
        <v>0</v>
      </c>
    </row>
    <row r="583" spans="1:8" ht="31.5">
      <c r="A583" s="114" t="s">
        <v>38</v>
      </c>
      <c r="B583" s="112" t="s">
        <v>45</v>
      </c>
      <c r="C583" s="114">
        <v>1620210290</v>
      </c>
      <c r="D583" s="114" t="s">
        <v>78</v>
      </c>
      <c r="E583" s="113" t="s">
        <v>111</v>
      </c>
      <c r="F583" s="28">
        <f>F584</f>
        <v>4423.5</v>
      </c>
      <c r="G583" s="28">
        <f t="shared" si="209"/>
        <v>0</v>
      </c>
      <c r="H583" s="28">
        <f t="shared" si="209"/>
        <v>0</v>
      </c>
    </row>
    <row r="584" spans="1:8" ht="12.75">
      <c r="A584" s="114" t="s">
        <v>38</v>
      </c>
      <c r="B584" s="112" t="s">
        <v>45</v>
      </c>
      <c r="C584" s="114">
        <v>1620210290</v>
      </c>
      <c r="D584" s="114" t="s">
        <v>147</v>
      </c>
      <c r="E584" s="113" t="s">
        <v>148</v>
      </c>
      <c r="F584" s="28">
        <v>4423.5</v>
      </c>
      <c r="G584" s="28">
        <v>0</v>
      </c>
      <c r="H584" s="28">
        <v>0</v>
      </c>
    </row>
    <row r="585" spans="1:8" ht="47.25">
      <c r="A585" s="70" t="s">
        <v>38</v>
      </c>
      <c r="B585" s="68" t="s">
        <v>45</v>
      </c>
      <c r="C585" s="70" t="s">
        <v>336</v>
      </c>
      <c r="D585" s="70"/>
      <c r="E585" s="69" t="s">
        <v>337</v>
      </c>
      <c r="F585" s="28">
        <f t="shared" si="206"/>
        <v>1895.8</v>
      </c>
      <c r="G585" s="28">
        <f t="shared" si="207"/>
        <v>0</v>
      </c>
      <c r="H585" s="28">
        <f t="shared" si="207"/>
        <v>0</v>
      </c>
    </row>
    <row r="586" spans="1:8" ht="31.5">
      <c r="A586" s="70" t="s">
        <v>38</v>
      </c>
      <c r="B586" s="68" t="s">
        <v>45</v>
      </c>
      <c r="C586" s="70" t="s">
        <v>336</v>
      </c>
      <c r="D586" s="70" t="s">
        <v>78</v>
      </c>
      <c r="E586" s="69" t="s">
        <v>111</v>
      </c>
      <c r="F586" s="28">
        <f t="shared" si="206"/>
        <v>1895.8</v>
      </c>
      <c r="G586" s="28">
        <f t="shared" si="207"/>
        <v>0</v>
      </c>
      <c r="H586" s="28">
        <f t="shared" si="207"/>
        <v>0</v>
      </c>
    </row>
    <row r="587" spans="1:8" ht="12.75">
      <c r="A587" s="70" t="s">
        <v>38</v>
      </c>
      <c r="B587" s="68" t="s">
        <v>45</v>
      </c>
      <c r="C587" s="70" t="s">
        <v>336</v>
      </c>
      <c r="D587" s="70" t="s">
        <v>147</v>
      </c>
      <c r="E587" s="69" t="s">
        <v>148</v>
      </c>
      <c r="F587" s="28">
        <f>1790.8+105</f>
        <v>1895.8</v>
      </c>
      <c r="G587" s="28">
        <v>0</v>
      </c>
      <c r="H587" s="28">
        <v>0</v>
      </c>
    </row>
    <row r="588" spans="1:8" ht="12.75">
      <c r="A588" s="57" t="s">
        <v>38</v>
      </c>
      <c r="B588" s="57" t="s">
        <v>91</v>
      </c>
      <c r="C588" s="57" t="s">
        <v>72</v>
      </c>
      <c r="D588" s="57" t="s">
        <v>72</v>
      </c>
      <c r="E588" s="56" t="s">
        <v>92</v>
      </c>
      <c r="F588" s="28">
        <f aca="true" t="shared" si="210" ref="F588:H596">F589</f>
        <v>11002.5</v>
      </c>
      <c r="G588" s="28">
        <f t="shared" si="210"/>
        <v>8001.8</v>
      </c>
      <c r="H588" s="28">
        <f t="shared" si="210"/>
        <v>9002.1</v>
      </c>
    </row>
    <row r="589" spans="1:8" ht="47.25">
      <c r="A589" s="57" t="s">
        <v>38</v>
      </c>
      <c r="B589" s="57" t="s">
        <v>91</v>
      </c>
      <c r="C589" s="57">
        <v>1600000000</v>
      </c>
      <c r="D589" s="57"/>
      <c r="E589" s="56" t="s">
        <v>140</v>
      </c>
      <c r="F589" s="28">
        <f t="shared" si="210"/>
        <v>11002.5</v>
      </c>
      <c r="G589" s="28">
        <f t="shared" si="210"/>
        <v>8001.8</v>
      </c>
      <c r="H589" s="28">
        <f t="shared" si="210"/>
        <v>9002.1</v>
      </c>
    </row>
    <row r="590" spans="1:8" ht="31.5">
      <c r="A590" s="57" t="s">
        <v>38</v>
      </c>
      <c r="B590" s="57" t="s">
        <v>91</v>
      </c>
      <c r="C590" s="57">
        <v>1620000000</v>
      </c>
      <c r="D590" s="57"/>
      <c r="E590" s="56" t="s">
        <v>133</v>
      </c>
      <c r="F590" s="28">
        <f t="shared" si="210"/>
        <v>11002.5</v>
      </c>
      <c r="G590" s="28">
        <f t="shared" si="210"/>
        <v>8001.8</v>
      </c>
      <c r="H590" s="28">
        <f t="shared" si="210"/>
        <v>9002.1</v>
      </c>
    </row>
    <row r="591" spans="1:8" ht="21" customHeight="1">
      <c r="A591" s="57" t="s">
        <v>38</v>
      </c>
      <c r="B591" s="57" t="s">
        <v>91</v>
      </c>
      <c r="C591" s="57">
        <v>1620200000</v>
      </c>
      <c r="D591" s="57"/>
      <c r="E591" s="56" t="s">
        <v>138</v>
      </c>
      <c r="F591" s="28">
        <f>F595+F592</f>
        <v>11002.5</v>
      </c>
      <c r="G591" s="28">
        <f aca="true" t="shared" si="211" ref="G591:H591">G595+G592</f>
        <v>8001.8</v>
      </c>
      <c r="H591" s="28">
        <f t="shared" si="211"/>
        <v>9002.1</v>
      </c>
    </row>
    <row r="592" spans="1:8" ht="63">
      <c r="A592" s="67" t="s">
        <v>38</v>
      </c>
      <c r="B592" s="67" t="s">
        <v>91</v>
      </c>
      <c r="C592" s="67">
        <v>1620210820</v>
      </c>
      <c r="D592" s="67"/>
      <c r="E592" s="66" t="s">
        <v>330</v>
      </c>
      <c r="F592" s="28">
        <f>F593</f>
        <v>8001.8</v>
      </c>
      <c r="G592" s="28">
        <f aca="true" t="shared" si="212" ref="G592:H593">G593</f>
        <v>7001.6</v>
      </c>
      <c r="H592" s="28">
        <f t="shared" si="212"/>
        <v>7001.6</v>
      </c>
    </row>
    <row r="593" spans="1:8" ht="31.5">
      <c r="A593" s="67" t="s">
        <v>38</v>
      </c>
      <c r="B593" s="67" t="s">
        <v>91</v>
      </c>
      <c r="C593" s="67">
        <v>1620210820</v>
      </c>
      <c r="D593" s="67" t="s">
        <v>78</v>
      </c>
      <c r="E593" s="66" t="s">
        <v>111</v>
      </c>
      <c r="F593" s="28">
        <f>F594</f>
        <v>8001.8</v>
      </c>
      <c r="G593" s="28">
        <f t="shared" si="212"/>
        <v>7001.6</v>
      </c>
      <c r="H593" s="28">
        <f t="shared" si="212"/>
        <v>7001.6</v>
      </c>
    </row>
    <row r="594" spans="1:8" ht="12.75">
      <c r="A594" s="67" t="s">
        <v>38</v>
      </c>
      <c r="B594" s="67" t="s">
        <v>91</v>
      </c>
      <c r="C594" s="67">
        <v>1620210820</v>
      </c>
      <c r="D594" s="67" t="s">
        <v>147</v>
      </c>
      <c r="E594" s="66" t="s">
        <v>148</v>
      </c>
      <c r="F594" s="28">
        <v>8001.8</v>
      </c>
      <c r="G594" s="28">
        <v>7001.6</v>
      </c>
      <c r="H594" s="28">
        <v>7001.6</v>
      </c>
    </row>
    <row r="595" spans="1:8" ht="47.25">
      <c r="A595" s="57" t="s">
        <v>38</v>
      </c>
      <c r="B595" s="57" t="s">
        <v>91</v>
      </c>
      <c r="C595" s="57" t="s">
        <v>141</v>
      </c>
      <c r="D595" s="57"/>
      <c r="E595" s="56" t="s">
        <v>327</v>
      </c>
      <c r="F595" s="28">
        <f t="shared" si="210"/>
        <v>3000.7</v>
      </c>
      <c r="G595" s="28">
        <f t="shared" si="210"/>
        <v>1000.1999999999998</v>
      </c>
      <c r="H595" s="28">
        <f t="shared" si="210"/>
        <v>2000.5</v>
      </c>
    </row>
    <row r="596" spans="1:8" ht="31.5">
      <c r="A596" s="57" t="s">
        <v>38</v>
      </c>
      <c r="B596" s="57" t="s">
        <v>91</v>
      </c>
      <c r="C596" s="57" t="s">
        <v>141</v>
      </c>
      <c r="D596" s="57" t="s">
        <v>78</v>
      </c>
      <c r="E596" s="56" t="s">
        <v>111</v>
      </c>
      <c r="F596" s="28">
        <f t="shared" si="210"/>
        <v>3000.7</v>
      </c>
      <c r="G596" s="28">
        <f t="shared" si="210"/>
        <v>1000.1999999999998</v>
      </c>
      <c r="H596" s="28">
        <f t="shared" si="210"/>
        <v>2000.5</v>
      </c>
    </row>
    <row r="597" spans="1:8" ht="12.75">
      <c r="A597" s="57" t="s">
        <v>38</v>
      </c>
      <c r="B597" s="57" t="s">
        <v>91</v>
      </c>
      <c r="C597" s="57" t="s">
        <v>141</v>
      </c>
      <c r="D597" s="57" t="s">
        <v>147</v>
      </c>
      <c r="E597" s="56" t="s">
        <v>148</v>
      </c>
      <c r="F597" s="28">
        <f>11002.5-8001.8</f>
        <v>3000.7</v>
      </c>
      <c r="G597" s="28">
        <f>8001.8-7001.6</f>
        <v>1000.1999999999998</v>
      </c>
      <c r="H597" s="28">
        <f>9002.1-7001.6</f>
        <v>2000.5</v>
      </c>
    </row>
    <row r="598" spans="1:8" ht="12.75">
      <c r="A598" s="19" t="s">
        <v>18</v>
      </c>
      <c r="B598" s="31" t="s">
        <v>72</v>
      </c>
      <c r="C598" s="31" t="s">
        <v>72</v>
      </c>
      <c r="D598" s="31" t="s">
        <v>72</v>
      </c>
      <c r="E598" s="33" t="s">
        <v>3</v>
      </c>
      <c r="F598" s="34">
        <f>F599</f>
        <v>4114.299999999999</v>
      </c>
      <c r="G598" s="34">
        <f aca="true" t="shared" si="213" ref="G598:H602">G599</f>
        <v>4114.3</v>
      </c>
      <c r="H598" s="34">
        <f t="shared" si="213"/>
        <v>4114.3</v>
      </c>
    </row>
    <row r="599" spans="1:8" ht="12.75">
      <c r="A599" s="55" t="s">
        <v>18</v>
      </c>
      <c r="B599" s="55" t="s">
        <v>60</v>
      </c>
      <c r="C599" s="55" t="s">
        <v>72</v>
      </c>
      <c r="D599" s="55" t="s">
        <v>72</v>
      </c>
      <c r="E599" s="16" t="s">
        <v>25</v>
      </c>
      <c r="F599" s="28">
        <f>F600</f>
        <v>4114.299999999999</v>
      </c>
      <c r="G599" s="28">
        <f t="shared" si="213"/>
        <v>4114.3</v>
      </c>
      <c r="H599" s="28">
        <f t="shared" si="213"/>
        <v>4114.3</v>
      </c>
    </row>
    <row r="600" spans="1:8" ht="47.25">
      <c r="A600" s="55" t="s">
        <v>18</v>
      </c>
      <c r="B600" s="55" t="s">
        <v>49</v>
      </c>
      <c r="C600" s="55" t="s">
        <v>72</v>
      </c>
      <c r="D600" s="55" t="s">
        <v>72</v>
      </c>
      <c r="E600" s="56" t="s">
        <v>26</v>
      </c>
      <c r="F600" s="28">
        <f>F601</f>
        <v>4114.299999999999</v>
      </c>
      <c r="G600" s="28">
        <f t="shared" si="213"/>
        <v>4114.3</v>
      </c>
      <c r="H600" s="28">
        <f t="shared" si="213"/>
        <v>4114.3</v>
      </c>
    </row>
    <row r="601" spans="1:8" ht="12.75">
      <c r="A601" s="55" t="s">
        <v>18</v>
      </c>
      <c r="B601" s="55" t="s">
        <v>49</v>
      </c>
      <c r="C601" s="57" t="s">
        <v>136</v>
      </c>
      <c r="D601" s="57" t="s">
        <v>72</v>
      </c>
      <c r="E601" s="56" t="s">
        <v>131</v>
      </c>
      <c r="F601" s="28">
        <f>F602</f>
        <v>4114.299999999999</v>
      </c>
      <c r="G601" s="28">
        <f t="shared" si="213"/>
        <v>4114.3</v>
      </c>
      <c r="H601" s="28">
        <f t="shared" si="213"/>
        <v>4114.3</v>
      </c>
    </row>
    <row r="602" spans="1:8" ht="31.5">
      <c r="A602" s="55" t="s">
        <v>18</v>
      </c>
      <c r="B602" s="55" t="s">
        <v>49</v>
      </c>
      <c r="C602" s="55">
        <v>9990000000</v>
      </c>
      <c r="D602" s="55"/>
      <c r="E602" s="56" t="s">
        <v>199</v>
      </c>
      <c r="F602" s="28">
        <f>F603</f>
        <v>4114.299999999999</v>
      </c>
      <c r="G602" s="28">
        <f t="shared" si="213"/>
        <v>4114.3</v>
      </c>
      <c r="H602" s="28">
        <f t="shared" si="213"/>
        <v>4114.3</v>
      </c>
    </row>
    <row r="603" spans="1:8" ht="31.5">
      <c r="A603" s="55" t="s">
        <v>18</v>
      </c>
      <c r="B603" s="55" t="s">
        <v>49</v>
      </c>
      <c r="C603" s="55">
        <v>9990100000</v>
      </c>
      <c r="D603" s="55"/>
      <c r="E603" s="56" t="s">
        <v>221</v>
      </c>
      <c r="F603" s="28">
        <f>F604+F607+F614</f>
        <v>4114.299999999999</v>
      </c>
      <c r="G603" s="28">
        <f aca="true" t="shared" si="214" ref="G603:H603">G604+G607+G614</f>
        <v>4114.3</v>
      </c>
      <c r="H603" s="28">
        <f t="shared" si="214"/>
        <v>4114.3</v>
      </c>
    </row>
    <row r="604" spans="1:8" ht="12.75">
      <c r="A604" s="55" t="s">
        <v>18</v>
      </c>
      <c r="B604" s="55" t="s">
        <v>49</v>
      </c>
      <c r="C604" s="55">
        <v>9990122000</v>
      </c>
      <c r="D604" s="55"/>
      <c r="E604" s="56" t="s">
        <v>222</v>
      </c>
      <c r="F604" s="28">
        <f>F605</f>
        <v>1208.6</v>
      </c>
      <c r="G604" s="28">
        <f aca="true" t="shared" si="215" ref="G604:H605">G605</f>
        <v>1208.6</v>
      </c>
      <c r="H604" s="28">
        <f t="shared" si="215"/>
        <v>1208.6</v>
      </c>
    </row>
    <row r="605" spans="1:8" ht="63">
      <c r="A605" s="55" t="s">
        <v>18</v>
      </c>
      <c r="B605" s="55" t="s">
        <v>49</v>
      </c>
      <c r="C605" s="55">
        <v>9990122000</v>
      </c>
      <c r="D605" s="57" t="s">
        <v>74</v>
      </c>
      <c r="E605" s="56" t="s">
        <v>2</v>
      </c>
      <c r="F605" s="28">
        <f>F606</f>
        <v>1208.6</v>
      </c>
      <c r="G605" s="28">
        <f t="shared" si="215"/>
        <v>1208.6</v>
      </c>
      <c r="H605" s="28">
        <f t="shared" si="215"/>
        <v>1208.6</v>
      </c>
    </row>
    <row r="606" spans="1:8" ht="34.15" customHeight="1">
      <c r="A606" s="55" t="s">
        <v>18</v>
      </c>
      <c r="B606" s="55" t="s">
        <v>49</v>
      </c>
      <c r="C606" s="55">
        <v>9990122000</v>
      </c>
      <c r="D606" s="55">
        <v>120</v>
      </c>
      <c r="E606" s="56" t="s">
        <v>471</v>
      </c>
      <c r="F606" s="28">
        <v>1208.6</v>
      </c>
      <c r="G606" s="28">
        <v>1208.6</v>
      </c>
      <c r="H606" s="28">
        <v>1208.6</v>
      </c>
    </row>
    <row r="607" spans="1:8" ht="31.5">
      <c r="A607" s="55" t="s">
        <v>18</v>
      </c>
      <c r="B607" s="55" t="s">
        <v>49</v>
      </c>
      <c r="C607" s="55">
        <v>9990123000</v>
      </c>
      <c r="D607" s="55"/>
      <c r="E607" s="56" t="s">
        <v>223</v>
      </c>
      <c r="F607" s="28">
        <f>F608+F610+F612</f>
        <v>2615.7999999999997</v>
      </c>
      <c r="G607" s="28">
        <f aca="true" t="shared" si="216" ref="G607:H607">G608+G610+G612</f>
        <v>2447.1</v>
      </c>
      <c r="H607" s="28">
        <f t="shared" si="216"/>
        <v>2447.1</v>
      </c>
    </row>
    <row r="608" spans="1:8" ht="63">
      <c r="A608" s="55" t="s">
        <v>18</v>
      </c>
      <c r="B608" s="55" t="s">
        <v>49</v>
      </c>
      <c r="C608" s="55">
        <v>9990123000</v>
      </c>
      <c r="D608" s="55" t="s">
        <v>74</v>
      </c>
      <c r="E608" s="56" t="s">
        <v>2</v>
      </c>
      <c r="F608" s="28">
        <f>F609</f>
        <v>2074.4</v>
      </c>
      <c r="G608" s="28">
        <f aca="true" t="shared" si="217" ref="G608:H608">G609</f>
        <v>2069.9</v>
      </c>
      <c r="H608" s="28">
        <f t="shared" si="217"/>
        <v>2069.9</v>
      </c>
    </row>
    <row r="609" spans="1:8" ht="33.6" customHeight="1">
      <c r="A609" s="55" t="s">
        <v>18</v>
      </c>
      <c r="B609" s="55" t="s">
        <v>49</v>
      </c>
      <c r="C609" s="55">
        <v>9990123000</v>
      </c>
      <c r="D609" s="55">
        <v>120</v>
      </c>
      <c r="E609" s="56" t="s">
        <v>471</v>
      </c>
      <c r="F609" s="28">
        <f>2069.9+4.5</f>
        <v>2074.4</v>
      </c>
      <c r="G609" s="28">
        <v>2069.9</v>
      </c>
      <c r="H609" s="28">
        <v>2069.9</v>
      </c>
    </row>
    <row r="610" spans="1:8" ht="36" customHeight="1">
      <c r="A610" s="55" t="s">
        <v>18</v>
      </c>
      <c r="B610" s="55" t="s">
        <v>49</v>
      </c>
      <c r="C610" s="55">
        <v>9990123000</v>
      </c>
      <c r="D610" s="110" t="s">
        <v>75</v>
      </c>
      <c r="E610" s="109" t="s">
        <v>110</v>
      </c>
      <c r="F610" s="28">
        <f>F611</f>
        <v>539.1999999999999</v>
      </c>
      <c r="G610" s="28">
        <f aca="true" t="shared" si="218" ref="G610:H610">G611</f>
        <v>375</v>
      </c>
      <c r="H610" s="28">
        <f t="shared" si="218"/>
        <v>375</v>
      </c>
    </row>
    <row r="611" spans="1:8" ht="33" customHeight="1">
      <c r="A611" s="55" t="s">
        <v>18</v>
      </c>
      <c r="B611" s="55" t="s">
        <v>49</v>
      </c>
      <c r="C611" s="55">
        <v>9990123000</v>
      </c>
      <c r="D611" s="108">
        <v>240</v>
      </c>
      <c r="E611" s="109" t="s">
        <v>469</v>
      </c>
      <c r="F611" s="28">
        <f>375+61.9+102.3</f>
        <v>539.1999999999999</v>
      </c>
      <c r="G611" s="28">
        <v>375</v>
      </c>
      <c r="H611" s="28">
        <v>375</v>
      </c>
    </row>
    <row r="612" spans="1:8" ht="12.75">
      <c r="A612" s="55" t="s">
        <v>18</v>
      </c>
      <c r="B612" s="55" t="s">
        <v>49</v>
      </c>
      <c r="C612" s="55">
        <v>9990123000</v>
      </c>
      <c r="D612" s="55" t="s">
        <v>76</v>
      </c>
      <c r="E612" s="56" t="s">
        <v>77</v>
      </c>
      <c r="F612" s="28">
        <f>F613</f>
        <v>2.2</v>
      </c>
      <c r="G612" s="28">
        <f aca="true" t="shared" si="219" ref="G612:H612">G613</f>
        <v>2.2</v>
      </c>
      <c r="H612" s="28">
        <f t="shared" si="219"/>
        <v>2.2</v>
      </c>
    </row>
    <row r="613" spans="1:8" ht="12.75">
      <c r="A613" s="55" t="s">
        <v>18</v>
      </c>
      <c r="B613" s="55" t="s">
        <v>49</v>
      </c>
      <c r="C613" s="55">
        <v>9990123000</v>
      </c>
      <c r="D613" s="55">
        <v>850</v>
      </c>
      <c r="E613" s="56" t="s">
        <v>126</v>
      </c>
      <c r="F613" s="28">
        <v>2.2</v>
      </c>
      <c r="G613" s="28">
        <v>2.2</v>
      </c>
      <c r="H613" s="28">
        <v>2.2</v>
      </c>
    </row>
    <row r="614" spans="1:8" ht="12.75">
      <c r="A614" s="55" t="s">
        <v>18</v>
      </c>
      <c r="B614" s="55" t="s">
        <v>49</v>
      </c>
      <c r="C614" s="55">
        <v>9990124000</v>
      </c>
      <c r="D614" s="55"/>
      <c r="E614" s="56" t="s">
        <v>224</v>
      </c>
      <c r="F614" s="28">
        <f>F615</f>
        <v>289.90000000000003</v>
      </c>
      <c r="G614" s="28">
        <f aca="true" t="shared" si="220" ref="G614:H615">G615</f>
        <v>458.6</v>
      </c>
      <c r="H614" s="28">
        <f t="shared" si="220"/>
        <v>458.6</v>
      </c>
    </row>
    <row r="615" spans="1:8" ht="63">
      <c r="A615" s="55" t="s">
        <v>18</v>
      </c>
      <c r="B615" s="55" t="s">
        <v>49</v>
      </c>
      <c r="C615" s="55">
        <v>9990124000</v>
      </c>
      <c r="D615" s="55" t="s">
        <v>74</v>
      </c>
      <c r="E615" s="56" t="s">
        <v>2</v>
      </c>
      <c r="F615" s="28">
        <f>F616</f>
        <v>289.90000000000003</v>
      </c>
      <c r="G615" s="28">
        <f t="shared" si="220"/>
        <v>458.6</v>
      </c>
      <c r="H615" s="28">
        <f t="shared" si="220"/>
        <v>458.6</v>
      </c>
    </row>
    <row r="616" spans="1:8" ht="33.6" customHeight="1">
      <c r="A616" s="55" t="s">
        <v>18</v>
      </c>
      <c r="B616" s="55" t="s">
        <v>49</v>
      </c>
      <c r="C616" s="55">
        <v>9990124000</v>
      </c>
      <c r="D616" s="55">
        <v>120</v>
      </c>
      <c r="E616" s="56" t="s">
        <v>471</v>
      </c>
      <c r="F616" s="28">
        <f>458.6-66.4-102.3</f>
        <v>289.90000000000003</v>
      </c>
      <c r="G616" s="28">
        <v>458.6</v>
      </c>
      <c r="H616" s="28">
        <v>458.6</v>
      </c>
    </row>
    <row r="617" spans="1:8" ht="31.5">
      <c r="A617" s="19" t="s">
        <v>6</v>
      </c>
      <c r="B617" s="31" t="s">
        <v>72</v>
      </c>
      <c r="C617" s="31" t="s">
        <v>72</v>
      </c>
      <c r="D617" s="31" t="s">
        <v>72</v>
      </c>
      <c r="E617" s="33" t="s">
        <v>10</v>
      </c>
      <c r="F617" s="34">
        <f>F618+F639</f>
        <v>9954.999999999998</v>
      </c>
      <c r="G617" s="34">
        <f aca="true" t="shared" si="221" ref="G617:H617">G618+G639</f>
        <v>0</v>
      </c>
      <c r="H617" s="34">
        <f t="shared" si="221"/>
        <v>0</v>
      </c>
    </row>
    <row r="618" spans="1:8" ht="12.75">
      <c r="A618" s="55" t="s">
        <v>6</v>
      </c>
      <c r="B618" s="55" t="s">
        <v>42</v>
      </c>
      <c r="C618" s="55" t="s">
        <v>72</v>
      </c>
      <c r="D618" s="55" t="s">
        <v>72</v>
      </c>
      <c r="E618" s="56" t="s">
        <v>34</v>
      </c>
      <c r="F618" s="28">
        <f>F619+F629</f>
        <v>4946.7</v>
      </c>
      <c r="G618" s="28">
        <f>G619+G629</f>
        <v>0</v>
      </c>
      <c r="H618" s="28">
        <f>H619+H629</f>
        <v>0</v>
      </c>
    </row>
    <row r="619" spans="1:8" ht="12.75">
      <c r="A619" s="55" t="s">
        <v>6</v>
      </c>
      <c r="B619" s="55" t="s">
        <v>102</v>
      </c>
      <c r="C619" s="55" t="s">
        <v>72</v>
      </c>
      <c r="D619" s="55" t="s">
        <v>72</v>
      </c>
      <c r="E619" s="56" t="s">
        <v>103</v>
      </c>
      <c r="F619" s="28">
        <f aca="true" t="shared" si="222" ref="F619:H627">F620</f>
        <v>4912.4</v>
      </c>
      <c r="G619" s="28">
        <f t="shared" si="222"/>
        <v>0</v>
      </c>
      <c r="H619" s="28">
        <f t="shared" si="222"/>
        <v>0</v>
      </c>
    </row>
    <row r="620" spans="1:8" ht="38.45" customHeight="1">
      <c r="A620" s="55" t="s">
        <v>6</v>
      </c>
      <c r="B620" s="55" t="s">
        <v>102</v>
      </c>
      <c r="C620" s="57">
        <v>1100000000</v>
      </c>
      <c r="D620" s="55"/>
      <c r="E620" s="56" t="s">
        <v>247</v>
      </c>
      <c r="F620" s="28">
        <f t="shared" si="222"/>
        <v>4912.4</v>
      </c>
      <c r="G620" s="28">
        <f t="shared" si="222"/>
        <v>0</v>
      </c>
      <c r="H620" s="28">
        <f t="shared" si="222"/>
        <v>0</v>
      </c>
    </row>
    <row r="621" spans="1:8" ht="12.75">
      <c r="A621" s="55" t="s">
        <v>6</v>
      </c>
      <c r="B621" s="55" t="s">
        <v>102</v>
      </c>
      <c r="C621" s="57">
        <v>1120000000</v>
      </c>
      <c r="D621" s="55"/>
      <c r="E621" s="56" t="s">
        <v>149</v>
      </c>
      <c r="F621" s="28">
        <f>F622</f>
        <v>4912.4</v>
      </c>
      <c r="G621" s="28">
        <f t="shared" si="222"/>
        <v>0</v>
      </c>
      <c r="H621" s="28">
        <f t="shared" si="222"/>
        <v>0</v>
      </c>
    </row>
    <row r="622" spans="1:8" ht="47.25">
      <c r="A622" s="55" t="s">
        <v>6</v>
      </c>
      <c r="B622" s="55" t="s">
        <v>102</v>
      </c>
      <c r="C622" s="57">
        <v>1120100000</v>
      </c>
      <c r="D622" s="55"/>
      <c r="E622" s="56" t="s">
        <v>150</v>
      </c>
      <c r="F622" s="28">
        <f>F626+F623</f>
        <v>4912.4</v>
      </c>
      <c r="G622" s="28">
        <f aca="true" t="shared" si="223" ref="G622:H622">G626+G623</f>
        <v>0</v>
      </c>
      <c r="H622" s="28">
        <f t="shared" si="223"/>
        <v>0</v>
      </c>
    </row>
    <row r="623" spans="1:8" ht="47.25">
      <c r="A623" s="55" t="s">
        <v>6</v>
      </c>
      <c r="B623" s="55" t="s">
        <v>102</v>
      </c>
      <c r="C623" s="55">
        <v>1120110690</v>
      </c>
      <c r="D623" s="55"/>
      <c r="E623" s="56" t="s">
        <v>317</v>
      </c>
      <c r="F623" s="28">
        <f>F624</f>
        <v>483.9000000000001</v>
      </c>
      <c r="G623" s="28">
        <f aca="true" t="shared" si="224" ref="G623:G624">G624</f>
        <v>0</v>
      </c>
      <c r="H623" s="28">
        <f aca="true" t="shared" si="225" ref="H623:H624">H624</f>
        <v>0</v>
      </c>
    </row>
    <row r="624" spans="1:8" ht="31.5">
      <c r="A624" s="55" t="s">
        <v>6</v>
      </c>
      <c r="B624" s="55" t="s">
        <v>102</v>
      </c>
      <c r="C624" s="55">
        <v>1120110690</v>
      </c>
      <c r="D624" s="57" t="s">
        <v>112</v>
      </c>
      <c r="E624" s="56" t="s">
        <v>113</v>
      </c>
      <c r="F624" s="28">
        <f>F625</f>
        <v>483.9000000000001</v>
      </c>
      <c r="G624" s="28">
        <f t="shared" si="224"/>
        <v>0</v>
      </c>
      <c r="H624" s="28">
        <f t="shared" si="225"/>
        <v>0</v>
      </c>
    </row>
    <row r="625" spans="1:8" ht="12.75">
      <c r="A625" s="55" t="s">
        <v>6</v>
      </c>
      <c r="B625" s="55" t="s">
        <v>102</v>
      </c>
      <c r="C625" s="55">
        <v>1120110690</v>
      </c>
      <c r="D625" s="55">
        <v>610</v>
      </c>
      <c r="E625" s="56" t="s">
        <v>130</v>
      </c>
      <c r="F625" s="28">
        <f>1369.9-886</f>
        <v>483.9000000000001</v>
      </c>
      <c r="G625" s="28">
        <v>0</v>
      </c>
      <c r="H625" s="28">
        <v>0</v>
      </c>
    </row>
    <row r="626" spans="1:8" ht="31.5">
      <c r="A626" s="55" t="s">
        <v>6</v>
      </c>
      <c r="B626" s="55" t="s">
        <v>102</v>
      </c>
      <c r="C626" s="57">
        <v>1120120010</v>
      </c>
      <c r="D626" s="55"/>
      <c r="E626" s="56" t="s">
        <v>151</v>
      </c>
      <c r="F626" s="28">
        <f t="shared" si="222"/>
        <v>4428.499999999999</v>
      </c>
      <c r="G626" s="28">
        <f t="shared" si="222"/>
        <v>0</v>
      </c>
      <c r="H626" s="28">
        <f t="shared" si="222"/>
        <v>0</v>
      </c>
    </row>
    <row r="627" spans="1:8" ht="31.5">
      <c r="A627" s="55" t="s">
        <v>6</v>
      </c>
      <c r="B627" s="55" t="s">
        <v>102</v>
      </c>
      <c r="C627" s="57">
        <v>1120120010</v>
      </c>
      <c r="D627" s="57" t="s">
        <v>112</v>
      </c>
      <c r="E627" s="56" t="s">
        <v>113</v>
      </c>
      <c r="F627" s="28">
        <f t="shared" si="222"/>
        <v>4428.499999999999</v>
      </c>
      <c r="G627" s="28">
        <f t="shared" si="222"/>
        <v>0</v>
      </c>
      <c r="H627" s="28">
        <f t="shared" si="222"/>
        <v>0</v>
      </c>
    </row>
    <row r="628" spans="1:8" ht="12.75">
      <c r="A628" s="55" t="s">
        <v>6</v>
      </c>
      <c r="B628" s="55" t="s">
        <v>102</v>
      </c>
      <c r="C628" s="57">
        <v>1120120010</v>
      </c>
      <c r="D628" s="55">
        <v>610</v>
      </c>
      <c r="E628" s="56" t="s">
        <v>130</v>
      </c>
      <c r="F628" s="28">
        <f>12648.9-82.2+197.6-8298.6-37.2</f>
        <v>4428.499999999999</v>
      </c>
      <c r="G628" s="28">
        <v>0</v>
      </c>
      <c r="H628" s="28">
        <v>0</v>
      </c>
    </row>
    <row r="629" spans="1:8" ht="12.75">
      <c r="A629" s="55" t="s">
        <v>6</v>
      </c>
      <c r="B629" s="55" t="s">
        <v>43</v>
      </c>
      <c r="C629" s="55" t="s">
        <v>72</v>
      </c>
      <c r="D629" s="55" t="s">
        <v>72</v>
      </c>
      <c r="E629" s="56" t="s">
        <v>118</v>
      </c>
      <c r="F629" s="28">
        <f>F630</f>
        <v>34.3</v>
      </c>
      <c r="G629" s="28">
        <f aca="true" t="shared" si="226" ref="G629:H629">G630</f>
        <v>0</v>
      </c>
      <c r="H629" s="28">
        <f t="shared" si="226"/>
        <v>0</v>
      </c>
    </row>
    <row r="630" spans="1:8" ht="47.25">
      <c r="A630" s="55" t="s">
        <v>6</v>
      </c>
      <c r="B630" s="55" t="s">
        <v>43</v>
      </c>
      <c r="C630" s="57">
        <v>1200000000</v>
      </c>
      <c r="D630" s="55"/>
      <c r="E630" s="56" t="s">
        <v>242</v>
      </c>
      <c r="F630" s="28">
        <f>F631</f>
        <v>34.3</v>
      </c>
      <c r="G630" s="28">
        <f aca="true" t="shared" si="227" ref="G630:H631">G631</f>
        <v>0</v>
      </c>
      <c r="H630" s="28">
        <f t="shared" si="227"/>
        <v>0</v>
      </c>
    </row>
    <row r="631" spans="1:8" ht="31.5">
      <c r="A631" s="55" t="s">
        <v>6</v>
      </c>
      <c r="B631" s="55" t="s">
        <v>43</v>
      </c>
      <c r="C631" s="57">
        <v>1240000000</v>
      </c>
      <c r="D631" s="11"/>
      <c r="E631" s="56" t="s">
        <v>171</v>
      </c>
      <c r="F631" s="28">
        <f>F632</f>
        <v>34.3</v>
      </c>
      <c r="G631" s="28">
        <f t="shared" si="227"/>
        <v>0</v>
      </c>
      <c r="H631" s="28">
        <f t="shared" si="227"/>
        <v>0</v>
      </c>
    </row>
    <row r="632" spans="1:8" ht="31.5">
      <c r="A632" s="55" t="s">
        <v>6</v>
      </c>
      <c r="B632" s="55" t="s">
        <v>43</v>
      </c>
      <c r="C632" s="11" t="s">
        <v>173</v>
      </c>
      <c r="D632" s="11"/>
      <c r="E632" s="56" t="s">
        <v>172</v>
      </c>
      <c r="F632" s="28">
        <f>F633+F636</f>
        <v>34.3</v>
      </c>
      <c r="G632" s="28">
        <f aca="true" t="shared" si="228" ref="G632:H632">G633+G636</f>
        <v>0</v>
      </c>
      <c r="H632" s="28">
        <f t="shared" si="228"/>
        <v>0</v>
      </c>
    </row>
    <row r="633" spans="1:8" ht="31.5">
      <c r="A633" s="3" t="s">
        <v>6</v>
      </c>
      <c r="B633" s="55" t="s">
        <v>43</v>
      </c>
      <c r="C633" s="11" t="s">
        <v>175</v>
      </c>
      <c r="D633" s="11"/>
      <c r="E633" s="56" t="s">
        <v>174</v>
      </c>
      <c r="F633" s="28">
        <f>F634</f>
        <v>22.3</v>
      </c>
      <c r="G633" s="28">
        <f aca="true" t="shared" si="229" ref="G633:H634">G634</f>
        <v>0</v>
      </c>
      <c r="H633" s="28">
        <f t="shared" si="229"/>
        <v>0</v>
      </c>
    </row>
    <row r="634" spans="1:8" ht="31.5">
      <c r="A634" s="3" t="s">
        <v>6</v>
      </c>
      <c r="B634" s="55" t="s">
        <v>43</v>
      </c>
      <c r="C634" s="11" t="s">
        <v>175</v>
      </c>
      <c r="D634" s="57" t="s">
        <v>75</v>
      </c>
      <c r="E634" s="56" t="s">
        <v>110</v>
      </c>
      <c r="F634" s="28">
        <f>F635</f>
        <v>22.3</v>
      </c>
      <c r="G634" s="28">
        <f t="shared" si="229"/>
        <v>0</v>
      </c>
      <c r="H634" s="28">
        <f t="shared" si="229"/>
        <v>0</v>
      </c>
    </row>
    <row r="635" spans="1:8" ht="35.45" customHeight="1">
      <c r="A635" s="55" t="s">
        <v>6</v>
      </c>
      <c r="B635" s="55" t="s">
        <v>43</v>
      </c>
      <c r="C635" s="11" t="s">
        <v>175</v>
      </c>
      <c r="D635" s="55">
        <v>240</v>
      </c>
      <c r="E635" s="199" t="s">
        <v>469</v>
      </c>
      <c r="F635" s="28">
        <v>22.3</v>
      </c>
      <c r="G635" s="28">
        <v>0</v>
      </c>
      <c r="H635" s="28">
        <v>0</v>
      </c>
    </row>
    <row r="636" spans="1:8" ht="12.75">
      <c r="A636" s="55" t="s">
        <v>6</v>
      </c>
      <c r="B636" s="55" t="s">
        <v>43</v>
      </c>
      <c r="C636" s="11" t="s">
        <v>278</v>
      </c>
      <c r="D636" s="11"/>
      <c r="E636" s="56" t="s">
        <v>178</v>
      </c>
      <c r="F636" s="28">
        <f>F637</f>
        <v>12</v>
      </c>
      <c r="G636" s="28">
        <f aca="true" t="shared" si="230" ref="G636:H637">G637</f>
        <v>0</v>
      </c>
      <c r="H636" s="28">
        <f t="shared" si="230"/>
        <v>0</v>
      </c>
    </row>
    <row r="637" spans="1:8" ht="12.75">
      <c r="A637" s="55" t="s">
        <v>6</v>
      </c>
      <c r="B637" s="55" t="s">
        <v>43</v>
      </c>
      <c r="C637" s="11" t="s">
        <v>278</v>
      </c>
      <c r="D637" s="57" t="s">
        <v>79</v>
      </c>
      <c r="E637" s="56" t="s">
        <v>80</v>
      </c>
      <c r="F637" s="28">
        <f>F638</f>
        <v>12</v>
      </c>
      <c r="G637" s="28">
        <f t="shared" si="230"/>
        <v>0</v>
      </c>
      <c r="H637" s="28">
        <f t="shared" si="230"/>
        <v>0</v>
      </c>
    </row>
    <row r="638" spans="1:8" ht="12.75">
      <c r="A638" s="3" t="s">
        <v>6</v>
      </c>
      <c r="B638" s="55" t="s">
        <v>43</v>
      </c>
      <c r="C638" s="11" t="s">
        <v>278</v>
      </c>
      <c r="D638" s="11" t="s">
        <v>179</v>
      </c>
      <c r="E638" s="56" t="s">
        <v>180</v>
      </c>
      <c r="F638" s="28">
        <f>36-24</f>
        <v>12</v>
      </c>
      <c r="G638" s="28">
        <v>0</v>
      </c>
      <c r="H638" s="28">
        <v>0</v>
      </c>
    </row>
    <row r="639" spans="1:8" ht="12.75">
      <c r="A639" s="55" t="s">
        <v>6</v>
      </c>
      <c r="B639" s="55" t="s">
        <v>67</v>
      </c>
      <c r="C639" s="68" t="s">
        <v>72</v>
      </c>
      <c r="D639" s="68" t="s">
        <v>72</v>
      </c>
      <c r="E639" s="69" t="s">
        <v>35</v>
      </c>
      <c r="F639" s="28">
        <f>F640+F667</f>
        <v>5008.299999999998</v>
      </c>
      <c r="G639" s="28">
        <f>G640+G667</f>
        <v>0</v>
      </c>
      <c r="H639" s="28">
        <f>H640+H667</f>
        <v>0</v>
      </c>
    </row>
    <row r="640" spans="1:8" ht="12.75">
      <c r="A640" s="55" t="s">
        <v>6</v>
      </c>
      <c r="B640" s="55" t="s">
        <v>93</v>
      </c>
      <c r="C640" s="55" t="s">
        <v>72</v>
      </c>
      <c r="D640" s="55" t="s">
        <v>72</v>
      </c>
      <c r="E640" s="56" t="s">
        <v>68</v>
      </c>
      <c r="F640" s="28">
        <f>F641</f>
        <v>4218.499999999998</v>
      </c>
      <c r="G640" s="28">
        <f aca="true" t="shared" si="231" ref="G640:H641">G641</f>
        <v>0</v>
      </c>
      <c r="H640" s="28">
        <f t="shared" si="231"/>
        <v>0</v>
      </c>
    </row>
    <row r="641" spans="1:8" ht="47.25">
      <c r="A641" s="55" t="s">
        <v>6</v>
      </c>
      <c r="B641" s="55" t="s">
        <v>93</v>
      </c>
      <c r="C641" s="57">
        <v>1200000000</v>
      </c>
      <c r="D641" s="55"/>
      <c r="E641" s="56" t="s">
        <v>242</v>
      </c>
      <c r="F641" s="28">
        <f>F642</f>
        <v>4218.499999999998</v>
      </c>
      <c r="G641" s="28">
        <f t="shared" si="231"/>
        <v>0</v>
      </c>
      <c r="H641" s="28">
        <f t="shared" si="231"/>
        <v>0</v>
      </c>
    </row>
    <row r="642" spans="1:8" ht="12.75">
      <c r="A642" s="55" t="s">
        <v>6</v>
      </c>
      <c r="B642" s="55" t="s">
        <v>93</v>
      </c>
      <c r="C642" s="55">
        <v>1230000000</v>
      </c>
      <c r="D642" s="55"/>
      <c r="E642" s="56" t="s">
        <v>268</v>
      </c>
      <c r="F642" s="28">
        <f>F643+F647+F651</f>
        <v>4218.499999999998</v>
      </c>
      <c r="G642" s="28">
        <f aca="true" t="shared" si="232" ref="G642:H642">G643+G647+G651</f>
        <v>0</v>
      </c>
      <c r="H642" s="28">
        <f t="shared" si="232"/>
        <v>0</v>
      </c>
    </row>
    <row r="643" spans="1:8" ht="47.25">
      <c r="A643" s="55" t="s">
        <v>6</v>
      </c>
      <c r="B643" s="55" t="s">
        <v>93</v>
      </c>
      <c r="C643" s="55">
        <v>1230100000</v>
      </c>
      <c r="D643" s="55"/>
      <c r="E643" s="56" t="s">
        <v>269</v>
      </c>
      <c r="F643" s="28">
        <f>F644</f>
        <v>3595.8999999999987</v>
      </c>
      <c r="G643" s="28">
        <f aca="true" t="shared" si="233" ref="G643:H645">G644</f>
        <v>0</v>
      </c>
      <c r="H643" s="28">
        <f t="shared" si="233"/>
        <v>0</v>
      </c>
    </row>
    <row r="644" spans="1:8" ht="31.5">
      <c r="A644" s="3" t="s">
        <v>6</v>
      </c>
      <c r="B644" s="3" t="s">
        <v>93</v>
      </c>
      <c r="C644" s="55">
        <v>1230120010</v>
      </c>
      <c r="D644" s="55"/>
      <c r="E644" s="56" t="s">
        <v>151</v>
      </c>
      <c r="F644" s="28">
        <f>F645</f>
        <v>3595.8999999999987</v>
      </c>
      <c r="G644" s="28">
        <f t="shared" si="233"/>
        <v>0</v>
      </c>
      <c r="H644" s="28">
        <f t="shared" si="233"/>
        <v>0</v>
      </c>
    </row>
    <row r="645" spans="1:8" ht="31.5">
      <c r="A645" s="3" t="s">
        <v>6</v>
      </c>
      <c r="B645" s="3" t="s">
        <v>93</v>
      </c>
      <c r="C645" s="55">
        <v>1230120010</v>
      </c>
      <c r="D645" s="57" t="s">
        <v>112</v>
      </c>
      <c r="E645" s="56" t="s">
        <v>113</v>
      </c>
      <c r="F645" s="28">
        <f>F646</f>
        <v>3595.8999999999987</v>
      </c>
      <c r="G645" s="28">
        <f t="shared" si="233"/>
        <v>0</v>
      </c>
      <c r="H645" s="28">
        <f t="shared" si="233"/>
        <v>0</v>
      </c>
    </row>
    <row r="646" spans="1:8" ht="12.75">
      <c r="A646" s="55" t="s">
        <v>6</v>
      </c>
      <c r="B646" s="55" t="s">
        <v>93</v>
      </c>
      <c r="C646" s="55">
        <v>1230120010</v>
      </c>
      <c r="D646" s="55">
        <v>610</v>
      </c>
      <c r="E646" s="56" t="s">
        <v>130</v>
      </c>
      <c r="F646" s="28">
        <f>9941.9+346.4+211.9-6874.1-30.2</f>
        <v>3595.8999999999987</v>
      </c>
      <c r="G646" s="28">
        <v>0</v>
      </c>
      <c r="H646" s="28">
        <v>0</v>
      </c>
    </row>
    <row r="647" spans="1:8" ht="63">
      <c r="A647" s="55" t="s">
        <v>6</v>
      </c>
      <c r="B647" s="55" t="s">
        <v>93</v>
      </c>
      <c r="C647" s="55">
        <v>1230200000</v>
      </c>
      <c r="D647" s="55"/>
      <c r="E647" s="56" t="s">
        <v>270</v>
      </c>
      <c r="F647" s="28">
        <f>F648</f>
        <v>55.099999999999994</v>
      </c>
      <c r="G647" s="28">
        <f aca="true" t="shared" si="234" ref="G647:H649">G648</f>
        <v>0</v>
      </c>
      <c r="H647" s="28">
        <f t="shared" si="234"/>
        <v>0</v>
      </c>
    </row>
    <row r="648" spans="1:8" ht="12.75">
      <c r="A648" s="55" t="s">
        <v>6</v>
      </c>
      <c r="B648" s="55" t="s">
        <v>93</v>
      </c>
      <c r="C648" s="55">
        <v>1230220040</v>
      </c>
      <c r="D648" s="55"/>
      <c r="E648" s="56" t="s">
        <v>271</v>
      </c>
      <c r="F648" s="28">
        <f>F649</f>
        <v>55.099999999999994</v>
      </c>
      <c r="G648" s="28">
        <f t="shared" si="234"/>
        <v>0</v>
      </c>
      <c r="H648" s="28">
        <f t="shared" si="234"/>
        <v>0</v>
      </c>
    </row>
    <row r="649" spans="1:8" ht="31.5">
      <c r="A649" s="55" t="s">
        <v>6</v>
      </c>
      <c r="B649" s="55" t="s">
        <v>93</v>
      </c>
      <c r="C649" s="55">
        <v>1230220040</v>
      </c>
      <c r="D649" s="57" t="s">
        <v>112</v>
      </c>
      <c r="E649" s="56" t="s">
        <v>113</v>
      </c>
      <c r="F649" s="28">
        <f>F650</f>
        <v>55.099999999999994</v>
      </c>
      <c r="G649" s="28">
        <f t="shared" si="234"/>
        <v>0</v>
      </c>
      <c r="H649" s="28">
        <f t="shared" si="234"/>
        <v>0</v>
      </c>
    </row>
    <row r="650" spans="1:8" ht="12.75">
      <c r="A650" s="55" t="s">
        <v>6</v>
      </c>
      <c r="B650" s="55" t="s">
        <v>93</v>
      </c>
      <c r="C650" s="55">
        <v>1230220040</v>
      </c>
      <c r="D650" s="55">
        <v>610</v>
      </c>
      <c r="E650" s="56" t="s">
        <v>130</v>
      </c>
      <c r="F650" s="28">
        <f>254.9-199.8</f>
        <v>55.099999999999994</v>
      </c>
      <c r="G650" s="28">
        <v>0</v>
      </c>
      <c r="H650" s="28">
        <v>0</v>
      </c>
    </row>
    <row r="651" spans="1:8" ht="31.5">
      <c r="A651" s="55" t="s">
        <v>6</v>
      </c>
      <c r="B651" s="55" t="s">
        <v>93</v>
      </c>
      <c r="C651" s="55">
        <v>1230600000</v>
      </c>
      <c r="D651" s="55"/>
      <c r="E651" s="56" t="s">
        <v>272</v>
      </c>
      <c r="F651" s="28">
        <f>F652+F657+F660</f>
        <v>567.5</v>
      </c>
      <c r="G651" s="28">
        <f>G652+G657+G660</f>
        <v>0</v>
      </c>
      <c r="H651" s="28">
        <f>H652+H657+H660</f>
        <v>0</v>
      </c>
    </row>
    <row r="652" spans="1:8" ht="31.5">
      <c r="A652" s="55" t="s">
        <v>6</v>
      </c>
      <c r="B652" s="55" t="s">
        <v>93</v>
      </c>
      <c r="C652" s="55">
        <v>1230620300</v>
      </c>
      <c r="D652" s="55"/>
      <c r="E652" s="56" t="s">
        <v>273</v>
      </c>
      <c r="F652" s="28">
        <f>F653+F655</f>
        <v>133.5</v>
      </c>
      <c r="G652" s="28">
        <f aca="true" t="shared" si="235" ref="G652:H652">G653+G655</f>
        <v>0</v>
      </c>
      <c r="H652" s="28">
        <f t="shared" si="235"/>
        <v>0</v>
      </c>
    </row>
    <row r="653" spans="1:8" ht="63">
      <c r="A653" s="55" t="s">
        <v>6</v>
      </c>
      <c r="B653" s="55" t="s">
        <v>93</v>
      </c>
      <c r="C653" s="55">
        <v>1230620300</v>
      </c>
      <c r="D653" s="57" t="s">
        <v>74</v>
      </c>
      <c r="E653" s="56" t="s">
        <v>2</v>
      </c>
      <c r="F653" s="28">
        <f>F654</f>
        <v>55.10000000000001</v>
      </c>
      <c r="G653" s="28">
        <f aca="true" t="shared" si="236" ref="G653:H653">G654</f>
        <v>0</v>
      </c>
      <c r="H653" s="28">
        <f t="shared" si="236"/>
        <v>0</v>
      </c>
    </row>
    <row r="654" spans="1:8" ht="30.6" customHeight="1">
      <c r="A654" s="55" t="s">
        <v>6</v>
      </c>
      <c r="B654" s="55" t="s">
        <v>93</v>
      </c>
      <c r="C654" s="55">
        <v>1230620300</v>
      </c>
      <c r="D654" s="55">
        <v>120</v>
      </c>
      <c r="E654" s="199" t="s">
        <v>471</v>
      </c>
      <c r="F654" s="28">
        <f>141.3-86.2</f>
        <v>55.10000000000001</v>
      </c>
      <c r="G654" s="28">
        <v>0</v>
      </c>
      <c r="H654" s="28">
        <v>0</v>
      </c>
    </row>
    <row r="655" spans="1:8" ht="31.5">
      <c r="A655" s="55" t="s">
        <v>6</v>
      </c>
      <c r="B655" s="55" t="s">
        <v>93</v>
      </c>
      <c r="C655" s="55">
        <v>1230620300</v>
      </c>
      <c r="D655" s="57" t="s">
        <v>75</v>
      </c>
      <c r="E655" s="56" t="s">
        <v>110</v>
      </c>
      <c r="F655" s="28">
        <f>F656</f>
        <v>78.39999999999999</v>
      </c>
      <c r="G655" s="28">
        <f aca="true" t="shared" si="237" ref="G655:H655">G656</f>
        <v>0</v>
      </c>
      <c r="H655" s="28">
        <f t="shared" si="237"/>
        <v>0</v>
      </c>
    </row>
    <row r="656" spans="1:8" ht="29.45" customHeight="1">
      <c r="A656" s="55" t="s">
        <v>6</v>
      </c>
      <c r="B656" s="55" t="s">
        <v>93</v>
      </c>
      <c r="C656" s="55">
        <v>1230620300</v>
      </c>
      <c r="D656" s="55">
        <v>240</v>
      </c>
      <c r="E656" s="199" t="s">
        <v>469</v>
      </c>
      <c r="F656" s="28">
        <f>194.2-115.8</f>
        <v>78.39999999999999</v>
      </c>
      <c r="G656" s="28">
        <v>0</v>
      </c>
      <c r="H656" s="28">
        <v>0</v>
      </c>
    </row>
    <row r="657" spans="1:8" ht="31.5">
      <c r="A657" s="55" t="s">
        <v>6</v>
      </c>
      <c r="B657" s="55" t="s">
        <v>93</v>
      </c>
      <c r="C657" s="55">
        <v>1230620310</v>
      </c>
      <c r="D657" s="55"/>
      <c r="E657" s="56" t="s">
        <v>274</v>
      </c>
      <c r="F657" s="28">
        <f>F658</f>
        <v>31.4</v>
      </c>
      <c r="G657" s="28">
        <f aca="true" t="shared" si="238" ref="G657:H658">G658</f>
        <v>0</v>
      </c>
      <c r="H657" s="28">
        <f t="shared" si="238"/>
        <v>0</v>
      </c>
    </row>
    <row r="658" spans="1:8" ht="31.5">
      <c r="A658" s="55" t="s">
        <v>6</v>
      </c>
      <c r="B658" s="55" t="s">
        <v>93</v>
      </c>
      <c r="C658" s="55">
        <v>1230620310</v>
      </c>
      <c r="D658" s="57" t="s">
        <v>75</v>
      </c>
      <c r="E658" s="56" t="s">
        <v>110</v>
      </c>
      <c r="F658" s="28">
        <f>F659</f>
        <v>31.4</v>
      </c>
      <c r="G658" s="28">
        <f t="shared" si="238"/>
        <v>0</v>
      </c>
      <c r="H658" s="28">
        <f t="shared" si="238"/>
        <v>0</v>
      </c>
    </row>
    <row r="659" spans="1:8" ht="32.45" customHeight="1">
      <c r="A659" s="55" t="s">
        <v>6</v>
      </c>
      <c r="B659" s="55" t="s">
        <v>93</v>
      </c>
      <c r="C659" s="55">
        <v>1230620310</v>
      </c>
      <c r="D659" s="55">
        <v>240</v>
      </c>
      <c r="E659" s="199" t="s">
        <v>469</v>
      </c>
      <c r="F659" s="28">
        <f>55.3-23.9</f>
        <v>31.4</v>
      </c>
      <c r="G659" s="28">
        <v>0</v>
      </c>
      <c r="H659" s="28">
        <v>0</v>
      </c>
    </row>
    <row r="660" spans="1:8" ht="12.75">
      <c r="A660" s="55" t="s">
        <v>6</v>
      </c>
      <c r="B660" s="55" t="s">
        <v>93</v>
      </c>
      <c r="C660" s="55">
        <v>1230620320</v>
      </c>
      <c r="D660" s="55"/>
      <c r="E660" s="56" t="s">
        <v>186</v>
      </c>
      <c r="F660" s="28">
        <f>F661+F663+F665</f>
        <v>402.6</v>
      </c>
      <c r="G660" s="28">
        <f aca="true" t="shared" si="239" ref="G660:H660">G661+G663+G665</f>
        <v>0</v>
      </c>
      <c r="H660" s="28">
        <f t="shared" si="239"/>
        <v>0</v>
      </c>
    </row>
    <row r="661" spans="1:8" ht="63">
      <c r="A661" s="55" t="s">
        <v>6</v>
      </c>
      <c r="B661" s="55" t="s">
        <v>93</v>
      </c>
      <c r="C661" s="55">
        <v>1230620320</v>
      </c>
      <c r="D661" s="57" t="s">
        <v>74</v>
      </c>
      <c r="E661" s="56" t="s">
        <v>2</v>
      </c>
      <c r="F661" s="28">
        <f>F662</f>
        <v>176.40000000000003</v>
      </c>
      <c r="G661" s="28">
        <f aca="true" t="shared" si="240" ref="G661:H661">G662</f>
        <v>0</v>
      </c>
      <c r="H661" s="28">
        <f t="shared" si="240"/>
        <v>0</v>
      </c>
    </row>
    <row r="662" spans="1:8" ht="31.15" customHeight="1">
      <c r="A662" s="55" t="s">
        <v>6</v>
      </c>
      <c r="B662" s="55" t="s">
        <v>93</v>
      </c>
      <c r="C662" s="55">
        <v>1230620320</v>
      </c>
      <c r="D662" s="55">
        <v>120</v>
      </c>
      <c r="E662" s="56" t="s">
        <v>471</v>
      </c>
      <c r="F662" s="28">
        <f>382.1-205.7</f>
        <v>176.40000000000003</v>
      </c>
      <c r="G662" s="28">
        <v>0</v>
      </c>
      <c r="H662" s="28">
        <v>0</v>
      </c>
    </row>
    <row r="663" spans="1:8" ht="31.5">
      <c r="A663" s="55" t="s">
        <v>6</v>
      </c>
      <c r="B663" s="55" t="s">
        <v>93</v>
      </c>
      <c r="C663" s="55">
        <v>1230620320</v>
      </c>
      <c r="D663" s="57" t="s">
        <v>75</v>
      </c>
      <c r="E663" s="56" t="s">
        <v>110</v>
      </c>
      <c r="F663" s="28">
        <f>F664</f>
        <v>102.79999999999998</v>
      </c>
      <c r="G663" s="28">
        <f aca="true" t="shared" si="241" ref="G663:H663">G664</f>
        <v>0</v>
      </c>
      <c r="H663" s="28">
        <f t="shared" si="241"/>
        <v>0</v>
      </c>
    </row>
    <row r="664" spans="1:8" ht="29.45" customHeight="1">
      <c r="A664" s="55" t="s">
        <v>6</v>
      </c>
      <c r="B664" s="55" t="s">
        <v>93</v>
      </c>
      <c r="C664" s="55">
        <v>1230620320</v>
      </c>
      <c r="D664" s="55">
        <v>240</v>
      </c>
      <c r="E664" s="56" t="s">
        <v>469</v>
      </c>
      <c r="F664" s="28">
        <f>240.2-137.4</f>
        <v>102.79999999999998</v>
      </c>
      <c r="G664" s="28">
        <v>0</v>
      </c>
      <c r="H664" s="28">
        <v>0</v>
      </c>
    </row>
    <row r="665" spans="1:8" ht="31.5">
      <c r="A665" s="55" t="s">
        <v>6</v>
      </c>
      <c r="B665" s="55" t="s">
        <v>93</v>
      </c>
      <c r="C665" s="55">
        <v>1230620320</v>
      </c>
      <c r="D665" s="57" t="s">
        <v>112</v>
      </c>
      <c r="E665" s="56" t="s">
        <v>113</v>
      </c>
      <c r="F665" s="28">
        <f>F666</f>
        <v>123.4</v>
      </c>
      <c r="G665" s="28">
        <f aca="true" t="shared" si="242" ref="G665:H665">G666</f>
        <v>0</v>
      </c>
      <c r="H665" s="28">
        <f t="shared" si="242"/>
        <v>0</v>
      </c>
    </row>
    <row r="666" spans="1:8" ht="12.75">
      <c r="A666" s="55" t="s">
        <v>6</v>
      </c>
      <c r="B666" s="55" t="s">
        <v>93</v>
      </c>
      <c r="C666" s="55">
        <v>1230620320</v>
      </c>
      <c r="D666" s="55">
        <v>610</v>
      </c>
      <c r="E666" s="56" t="s">
        <v>130</v>
      </c>
      <c r="F666" s="28">
        <f>144-20.6</f>
        <v>123.4</v>
      </c>
      <c r="G666" s="28">
        <v>0</v>
      </c>
      <c r="H666" s="28">
        <v>0</v>
      </c>
    </row>
    <row r="667" spans="1:8" ht="12.75">
      <c r="A667" s="55" t="s">
        <v>6</v>
      </c>
      <c r="B667" s="55" t="s">
        <v>94</v>
      </c>
      <c r="C667" s="55" t="s">
        <v>72</v>
      </c>
      <c r="D667" s="55" t="s">
        <v>72</v>
      </c>
      <c r="E667" s="56" t="s">
        <v>0</v>
      </c>
      <c r="F667" s="28">
        <f>F668</f>
        <v>789.8</v>
      </c>
      <c r="G667" s="28">
        <f aca="true" t="shared" si="243" ref="G667:H670">G668</f>
        <v>0</v>
      </c>
      <c r="H667" s="28">
        <f t="shared" si="243"/>
        <v>0</v>
      </c>
    </row>
    <row r="668" spans="1:8" ht="12.75">
      <c r="A668" s="55" t="s">
        <v>6</v>
      </c>
      <c r="B668" s="55" t="s">
        <v>94</v>
      </c>
      <c r="C668" s="57" t="s">
        <v>136</v>
      </c>
      <c r="D668" s="57" t="s">
        <v>72</v>
      </c>
      <c r="E668" s="56" t="s">
        <v>131</v>
      </c>
      <c r="F668" s="28">
        <f>F669</f>
        <v>789.8</v>
      </c>
      <c r="G668" s="28">
        <f t="shared" si="243"/>
        <v>0</v>
      </c>
      <c r="H668" s="28">
        <f t="shared" si="243"/>
        <v>0</v>
      </c>
    </row>
    <row r="669" spans="1:8" ht="31.5">
      <c r="A669" s="55" t="s">
        <v>6</v>
      </c>
      <c r="B669" s="55" t="s">
        <v>94</v>
      </c>
      <c r="C669" s="55">
        <v>9990000000</v>
      </c>
      <c r="D669" s="55"/>
      <c r="E669" s="56" t="s">
        <v>199</v>
      </c>
      <c r="F669" s="28">
        <f>F670</f>
        <v>789.8</v>
      </c>
      <c r="G669" s="28">
        <f t="shared" si="243"/>
        <v>0</v>
      </c>
      <c r="H669" s="28">
        <f t="shared" si="243"/>
        <v>0</v>
      </c>
    </row>
    <row r="670" spans="1:8" ht="31.5">
      <c r="A670" s="55" t="s">
        <v>6</v>
      </c>
      <c r="B670" s="55" t="s">
        <v>94</v>
      </c>
      <c r="C670" s="55">
        <v>9990200000</v>
      </c>
      <c r="D670" s="31"/>
      <c r="E670" s="56" t="s">
        <v>145</v>
      </c>
      <c r="F670" s="28">
        <f>F671</f>
        <v>789.8</v>
      </c>
      <c r="G670" s="28">
        <f t="shared" si="243"/>
        <v>0</v>
      </c>
      <c r="H670" s="28">
        <f t="shared" si="243"/>
        <v>0</v>
      </c>
    </row>
    <row r="671" spans="1:8" ht="47.25">
      <c r="A671" s="55" t="s">
        <v>6</v>
      </c>
      <c r="B671" s="55" t="s">
        <v>94</v>
      </c>
      <c r="C671" s="55">
        <v>9990225000</v>
      </c>
      <c r="D671" s="55"/>
      <c r="E671" s="56" t="s">
        <v>146</v>
      </c>
      <c r="F671" s="28">
        <f>F672+F674</f>
        <v>789.8</v>
      </c>
      <c r="G671" s="28">
        <f aca="true" t="shared" si="244" ref="G671:H671">G672+G674</f>
        <v>0</v>
      </c>
      <c r="H671" s="28">
        <f t="shared" si="244"/>
        <v>0</v>
      </c>
    </row>
    <row r="672" spans="1:8" ht="63">
      <c r="A672" s="55" t="s">
        <v>6</v>
      </c>
      <c r="B672" s="55" t="s">
        <v>94</v>
      </c>
      <c r="C672" s="55">
        <v>9990225000</v>
      </c>
      <c r="D672" s="57" t="s">
        <v>74</v>
      </c>
      <c r="E672" s="56" t="s">
        <v>2</v>
      </c>
      <c r="F672" s="28">
        <f>F673</f>
        <v>732.4</v>
      </c>
      <c r="G672" s="28">
        <f aca="true" t="shared" si="245" ref="G672:H672">G673</f>
        <v>0</v>
      </c>
      <c r="H672" s="28">
        <f t="shared" si="245"/>
        <v>0</v>
      </c>
    </row>
    <row r="673" spans="1:8" ht="32.25" customHeight="1">
      <c r="A673" s="55" t="s">
        <v>6</v>
      </c>
      <c r="B673" s="55" t="s">
        <v>94</v>
      </c>
      <c r="C673" s="55">
        <v>9990225000</v>
      </c>
      <c r="D673" s="55">
        <v>120</v>
      </c>
      <c r="E673" s="56" t="s">
        <v>471</v>
      </c>
      <c r="F673" s="28">
        <f>525.5+282.9-76</f>
        <v>732.4</v>
      </c>
      <c r="G673" s="28">
        <v>0</v>
      </c>
      <c r="H673" s="28">
        <v>0</v>
      </c>
    </row>
    <row r="674" spans="1:8" ht="31.5">
      <c r="A674" s="55" t="s">
        <v>6</v>
      </c>
      <c r="B674" s="55" t="s">
        <v>94</v>
      </c>
      <c r="C674" s="55">
        <v>9990225000</v>
      </c>
      <c r="D674" s="57" t="s">
        <v>75</v>
      </c>
      <c r="E674" s="56" t="s">
        <v>110</v>
      </c>
      <c r="F674" s="28">
        <f>F675</f>
        <v>57.4</v>
      </c>
      <c r="G674" s="28">
        <f aca="true" t="shared" si="246" ref="G674:H674">G675</f>
        <v>0</v>
      </c>
      <c r="H674" s="28">
        <f t="shared" si="246"/>
        <v>0</v>
      </c>
    </row>
    <row r="675" spans="1:8" ht="33" customHeight="1">
      <c r="A675" s="55" t="s">
        <v>6</v>
      </c>
      <c r="B675" s="55" t="s">
        <v>94</v>
      </c>
      <c r="C675" s="55">
        <v>9990225000</v>
      </c>
      <c r="D675" s="55">
        <v>240</v>
      </c>
      <c r="E675" s="56" t="s">
        <v>469</v>
      </c>
      <c r="F675" s="28">
        <f>45+15.1-2.7</f>
        <v>57.4</v>
      </c>
      <c r="G675" s="28">
        <v>0</v>
      </c>
      <c r="H675" s="28">
        <v>0</v>
      </c>
    </row>
    <row r="676" spans="1:8" ht="31.5">
      <c r="A676" s="19" t="s">
        <v>13</v>
      </c>
      <c r="B676" s="31" t="s">
        <v>72</v>
      </c>
      <c r="C676" s="31" t="s">
        <v>72</v>
      </c>
      <c r="D676" s="31" t="s">
        <v>72</v>
      </c>
      <c r="E676" s="58" t="s">
        <v>309</v>
      </c>
      <c r="F676" s="34">
        <f>F685+F693+F858+F677</f>
        <v>453610.1</v>
      </c>
      <c r="G676" s="34">
        <f>G685+G693+G858+G677</f>
        <v>411021.00000000006</v>
      </c>
      <c r="H676" s="34">
        <f>H685+H693+H858+H677</f>
        <v>411021.00000000006</v>
      </c>
    </row>
    <row r="677" spans="1:8" ht="12.75">
      <c r="A677" s="55" t="s">
        <v>13</v>
      </c>
      <c r="B677" s="55" t="s">
        <v>60</v>
      </c>
      <c r="C677" s="55" t="s">
        <v>72</v>
      </c>
      <c r="D677" s="55" t="s">
        <v>72</v>
      </c>
      <c r="E677" s="16" t="s">
        <v>25</v>
      </c>
      <c r="F677" s="28">
        <f aca="true" t="shared" si="247" ref="F677:F683">F678</f>
        <v>21</v>
      </c>
      <c r="G677" s="28">
        <f aca="true" t="shared" si="248" ref="G677:H680">G678</f>
        <v>0</v>
      </c>
      <c r="H677" s="28">
        <f t="shared" si="248"/>
        <v>0</v>
      </c>
    </row>
    <row r="678" spans="1:8" ht="12.75">
      <c r="A678" s="55" t="s">
        <v>13</v>
      </c>
      <c r="B678" s="55" t="s">
        <v>66</v>
      </c>
      <c r="C678" s="55"/>
      <c r="D678" s="55"/>
      <c r="E678" s="56" t="s">
        <v>28</v>
      </c>
      <c r="F678" s="28">
        <f t="shared" si="247"/>
        <v>21</v>
      </c>
      <c r="G678" s="28">
        <f t="shared" si="248"/>
        <v>0</v>
      </c>
      <c r="H678" s="28">
        <f t="shared" si="248"/>
        <v>0</v>
      </c>
    </row>
    <row r="679" spans="1:8" ht="47.25">
      <c r="A679" s="55" t="s">
        <v>13</v>
      </c>
      <c r="B679" s="57" t="s">
        <v>66</v>
      </c>
      <c r="C679" s="57">
        <v>1600000000</v>
      </c>
      <c r="D679" s="57"/>
      <c r="E679" s="56" t="s">
        <v>140</v>
      </c>
      <c r="F679" s="28">
        <f t="shared" si="247"/>
        <v>21</v>
      </c>
      <c r="G679" s="28">
        <f t="shared" si="248"/>
        <v>0</v>
      </c>
      <c r="H679" s="28">
        <f t="shared" si="248"/>
        <v>0</v>
      </c>
    </row>
    <row r="680" spans="1:8" ht="47.25">
      <c r="A680" s="55" t="s">
        <v>13</v>
      </c>
      <c r="B680" s="55" t="s">
        <v>66</v>
      </c>
      <c r="C680" s="57">
        <v>1630000000</v>
      </c>
      <c r="D680" s="55"/>
      <c r="E680" s="56" t="s">
        <v>286</v>
      </c>
      <c r="F680" s="28">
        <f t="shared" si="247"/>
        <v>21</v>
      </c>
      <c r="G680" s="28">
        <f t="shared" si="248"/>
        <v>0</v>
      </c>
      <c r="H680" s="28">
        <f t="shared" si="248"/>
        <v>0</v>
      </c>
    </row>
    <row r="681" spans="1:8" ht="47.25">
      <c r="A681" s="55" t="s">
        <v>13</v>
      </c>
      <c r="B681" s="57" t="s">
        <v>66</v>
      </c>
      <c r="C681" s="55">
        <v>1630100000</v>
      </c>
      <c r="D681" s="55"/>
      <c r="E681" s="56" t="s">
        <v>287</v>
      </c>
      <c r="F681" s="28">
        <f t="shared" si="247"/>
        <v>21</v>
      </c>
      <c r="G681" s="28">
        <f aca="true" t="shared" si="249" ref="G681:H683">G682</f>
        <v>0</v>
      </c>
      <c r="H681" s="28">
        <f t="shared" si="249"/>
        <v>0</v>
      </c>
    </row>
    <row r="682" spans="1:8" ht="47.25">
      <c r="A682" s="3" t="s">
        <v>13</v>
      </c>
      <c r="B682" s="55" t="s">
        <v>66</v>
      </c>
      <c r="C682" s="55">
        <v>1630120180</v>
      </c>
      <c r="D682" s="55"/>
      <c r="E682" s="56" t="s">
        <v>288</v>
      </c>
      <c r="F682" s="28">
        <f t="shared" si="247"/>
        <v>21</v>
      </c>
      <c r="G682" s="28">
        <f t="shared" si="249"/>
        <v>0</v>
      </c>
      <c r="H682" s="28">
        <f t="shared" si="249"/>
        <v>0</v>
      </c>
    </row>
    <row r="683" spans="1:8" ht="31.5">
      <c r="A683" s="3" t="s">
        <v>13</v>
      </c>
      <c r="B683" s="57" t="s">
        <v>66</v>
      </c>
      <c r="C683" s="55">
        <v>1630120180</v>
      </c>
      <c r="D683" s="55" t="s">
        <v>75</v>
      </c>
      <c r="E683" s="56" t="s">
        <v>110</v>
      </c>
      <c r="F683" s="28">
        <f t="shared" si="247"/>
        <v>21</v>
      </c>
      <c r="G683" s="28">
        <f t="shared" si="249"/>
        <v>0</v>
      </c>
      <c r="H683" s="28">
        <f t="shared" si="249"/>
        <v>0</v>
      </c>
    </row>
    <row r="684" spans="1:8" ht="36" customHeight="1">
      <c r="A684" s="55" t="s">
        <v>13</v>
      </c>
      <c r="B684" s="57" t="s">
        <v>66</v>
      </c>
      <c r="C684" s="55">
        <v>1630120180</v>
      </c>
      <c r="D684" s="55">
        <v>240</v>
      </c>
      <c r="E684" s="56" t="s">
        <v>469</v>
      </c>
      <c r="F684" s="28">
        <v>21</v>
      </c>
      <c r="G684" s="28">
        <v>0</v>
      </c>
      <c r="H684" s="28">
        <v>0</v>
      </c>
    </row>
    <row r="685" spans="1:8" ht="12.75">
      <c r="A685" s="55" t="s">
        <v>13</v>
      </c>
      <c r="B685" s="55" t="s">
        <v>62</v>
      </c>
      <c r="C685" s="55" t="s">
        <v>72</v>
      </c>
      <c r="D685" s="55" t="s">
        <v>72</v>
      </c>
      <c r="E685" s="9" t="s">
        <v>30</v>
      </c>
      <c r="F685" s="28">
        <f aca="true" t="shared" si="250" ref="F685:H691">F686</f>
        <v>111.49999999999999</v>
      </c>
      <c r="G685" s="28">
        <f t="shared" si="250"/>
        <v>112.3</v>
      </c>
      <c r="H685" s="28">
        <f t="shared" si="250"/>
        <v>112.3</v>
      </c>
    </row>
    <row r="686" spans="1:8" ht="12.75">
      <c r="A686" s="55" t="s">
        <v>13</v>
      </c>
      <c r="B686" s="24" t="s">
        <v>122</v>
      </c>
      <c r="C686" s="31"/>
      <c r="D686" s="31"/>
      <c r="E686" s="56" t="s">
        <v>123</v>
      </c>
      <c r="F686" s="28">
        <f t="shared" si="250"/>
        <v>111.49999999999999</v>
      </c>
      <c r="G686" s="28">
        <f t="shared" si="250"/>
        <v>112.3</v>
      </c>
      <c r="H686" s="28">
        <f t="shared" si="250"/>
        <v>112.3</v>
      </c>
    </row>
    <row r="687" spans="1:8" ht="31.5" customHeight="1">
      <c r="A687" s="55" t="s">
        <v>13</v>
      </c>
      <c r="B687" s="24" t="s">
        <v>122</v>
      </c>
      <c r="C687" s="57">
        <v>1100000000</v>
      </c>
      <c r="D687" s="31"/>
      <c r="E687" s="56" t="s">
        <v>247</v>
      </c>
      <c r="F687" s="28">
        <f t="shared" si="250"/>
        <v>111.49999999999999</v>
      </c>
      <c r="G687" s="28">
        <f t="shared" si="250"/>
        <v>112.3</v>
      </c>
      <c r="H687" s="28">
        <f t="shared" si="250"/>
        <v>112.3</v>
      </c>
    </row>
    <row r="688" spans="1:8" ht="31.5">
      <c r="A688" s="55" t="s">
        <v>13</v>
      </c>
      <c r="B688" s="24" t="s">
        <v>122</v>
      </c>
      <c r="C688" s="57">
        <v>1130000000</v>
      </c>
      <c r="D688" s="31"/>
      <c r="E688" s="56" t="s">
        <v>142</v>
      </c>
      <c r="F688" s="28">
        <f t="shared" si="250"/>
        <v>111.49999999999999</v>
      </c>
      <c r="G688" s="28">
        <f t="shared" si="250"/>
        <v>112.3</v>
      </c>
      <c r="H688" s="28">
        <f t="shared" si="250"/>
        <v>112.3</v>
      </c>
    </row>
    <row r="689" spans="1:8" ht="47.25">
      <c r="A689" s="55" t="s">
        <v>13</v>
      </c>
      <c r="B689" s="24" t="s">
        <v>122</v>
      </c>
      <c r="C689" s="57">
        <v>1130300000</v>
      </c>
      <c r="D689" s="31"/>
      <c r="E689" s="56" t="s">
        <v>143</v>
      </c>
      <c r="F689" s="28">
        <f t="shared" si="250"/>
        <v>111.49999999999999</v>
      </c>
      <c r="G689" s="28">
        <f t="shared" si="250"/>
        <v>112.3</v>
      </c>
      <c r="H689" s="28">
        <f t="shared" si="250"/>
        <v>112.3</v>
      </c>
    </row>
    <row r="690" spans="1:8" ht="31.5">
      <c r="A690" s="3" t="s">
        <v>13</v>
      </c>
      <c r="B690" s="24" t="s">
        <v>122</v>
      </c>
      <c r="C690" s="57">
        <v>1130320280</v>
      </c>
      <c r="D690" s="31"/>
      <c r="E690" s="93" t="s">
        <v>144</v>
      </c>
      <c r="F690" s="28">
        <f t="shared" si="250"/>
        <v>111.49999999999999</v>
      </c>
      <c r="G690" s="28">
        <f t="shared" si="250"/>
        <v>112.3</v>
      </c>
      <c r="H690" s="28">
        <f t="shared" si="250"/>
        <v>112.3</v>
      </c>
    </row>
    <row r="691" spans="1:8" ht="31.5">
      <c r="A691" s="3" t="s">
        <v>13</v>
      </c>
      <c r="B691" s="24" t="s">
        <v>122</v>
      </c>
      <c r="C691" s="57">
        <v>1130320280</v>
      </c>
      <c r="D691" s="57" t="s">
        <v>112</v>
      </c>
      <c r="E691" s="56" t="s">
        <v>113</v>
      </c>
      <c r="F691" s="28">
        <f t="shared" si="250"/>
        <v>111.49999999999999</v>
      </c>
      <c r="G691" s="28">
        <f t="shared" si="250"/>
        <v>112.3</v>
      </c>
      <c r="H691" s="28">
        <f t="shared" si="250"/>
        <v>112.3</v>
      </c>
    </row>
    <row r="692" spans="1:8" ht="12.75">
      <c r="A692" s="55" t="s">
        <v>13</v>
      </c>
      <c r="B692" s="24" t="s">
        <v>122</v>
      </c>
      <c r="C692" s="57">
        <v>1130320280</v>
      </c>
      <c r="D692" s="55">
        <v>610</v>
      </c>
      <c r="E692" s="56" t="s">
        <v>130</v>
      </c>
      <c r="F692" s="28">
        <f>112.3-0.4-0.4</f>
        <v>111.49999999999999</v>
      </c>
      <c r="G692" s="28">
        <v>112.3</v>
      </c>
      <c r="H692" s="28">
        <v>112.3</v>
      </c>
    </row>
    <row r="693" spans="1:8" ht="12.75">
      <c r="A693" s="55" t="s">
        <v>13</v>
      </c>
      <c r="B693" s="55" t="s">
        <v>42</v>
      </c>
      <c r="C693" s="55" t="s">
        <v>72</v>
      </c>
      <c r="D693" s="55" t="s">
        <v>72</v>
      </c>
      <c r="E693" s="56" t="s">
        <v>34</v>
      </c>
      <c r="F693" s="28">
        <f>F694+F720+F788+F820+F832+F813</f>
        <v>443029</v>
      </c>
      <c r="G693" s="28">
        <f>G694+G720+G788+G820+G832+G813</f>
        <v>400460.1000000001</v>
      </c>
      <c r="H693" s="28">
        <f>H694+H720+H788+H820+H832+H813</f>
        <v>400460.1000000001</v>
      </c>
    </row>
    <row r="694" spans="1:8" ht="12.75">
      <c r="A694" s="55" t="s">
        <v>13</v>
      </c>
      <c r="B694" s="55" t="s">
        <v>56</v>
      </c>
      <c r="C694" s="55" t="s">
        <v>72</v>
      </c>
      <c r="D694" s="55" t="s">
        <v>72</v>
      </c>
      <c r="E694" s="56" t="s">
        <v>14</v>
      </c>
      <c r="F694" s="28">
        <f>F695+F714</f>
        <v>178050.7</v>
      </c>
      <c r="G694" s="28">
        <f aca="true" t="shared" si="251" ref="G694:H695">G695</f>
        <v>161779</v>
      </c>
      <c r="H694" s="28">
        <f t="shared" si="251"/>
        <v>161779</v>
      </c>
    </row>
    <row r="695" spans="1:8" ht="35.25" customHeight="1">
      <c r="A695" s="55" t="s">
        <v>13</v>
      </c>
      <c r="B695" s="55" t="s">
        <v>56</v>
      </c>
      <c r="C695" s="57">
        <v>1100000000</v>
      </c>
      <c r="D695" s="55"/>
      <c r="E695" s="56" t="s">
        <v>247</v>
      </c>
      <c r="F695" s="28">
        <f>F696</f>
        <v>177397.2</v>
      </c>
      <c r="G695" s="28">
        <f t="shared" si="251"/>
        <v>161779</v>
      </c>
      <c r="H695" s="28">
        <f t="shared" si="251"/>
        <v>161779</v>
      </c>
    </row>
    <row r="696" spans="1:8" ht="12.75">
      <c r="A696" s="55" t="s">
        <v>13</v>
      </c>
      <c r="B696" s="55" t="s">
        <v>56</v>
      </c>
      <c r="C696" s="55">
        <v>1110000000</v>
      </c>
      <c r="D696" s="55"/>
      <c r="E696" s="56" t="s">
        <v>225</v>
      </c>
      <c r="F696" s="28">
        <f>F697+F710</f>
        <v>177397.2</v>
      </c>
      <c r="G696" s="28">
        <f aca="true" t="shared" si="252" ref="G696:H696">G697+G710</f>
        <v>161779</v>
      </c>
      <c r="H696" s="28">
        <f t="shared" si="252"/>
        <v>161779</v>
      </c>
    </row>
    <row r="697" spans="1:8" ht="47.25">
      <c r="A697" s="55" t="s">
        <v>13</v>
      </c>
      <c r="B697" s="55" t="s">
        <v>56</v>
      </c>
      <c r="C697" s="55">
        <v>1110100000</v>
      </c>
      <c r="D697" s="31"/>
      <c r="E697" s="56" t="s">
        <v>226</v>
      </c>
      <c r="F697" s="28">
        <f>F704+F701+F698+F707</f>
        <v>176979</v>
      </c>
      <c r="G697" s="28">
        <f aca="true" t="shared" si="253" ref="G697:H697">G704+G701+G698+G707</f>
        <v>161779</v>
      </c>
      <c r="H697" s="28">
        <f t="shared" si="253"/>
        <v>161779</v>
      </c>
    </row>
    <row r="698" spans="1:8" ht="48.75" customHeight="1">
      <c r="A698" s="3" t="s">
        <v>13</v>
      </c>
      <c r="B698" s="3" t="s">
        <v>56</v>
      </c>
      <c r="C698" s="11" t="s">
        <v>365</v>
      </c>
      <c r="D698" s="13"/>
      <c r="E698" s="9" t="s">
        <v>366</v>
      </c>
      <c r="F698" s="28">
        <f>F699</f>
        <v>8272.8</v>
      </c>
      <c r="G698" s="28">
        <f aca="true" t="shared" si="254" ref="G698:H699">G699</f>
        <v>0</v>
      </c>
      <c r="H698" s="28">
        <f t="shared" si="254"/>
        <v>0</v>
      </c>
    </row>
    <row r="699" spans="1:8" ht="31.5">
      <c r="A699" s="3" t="s">
        <v>13</v>
      </c>
      <c r="B699" s="3" t="s">
        <v>56</v>
      </c>
      <c r="C699" s="11" t="s">
        <v>365</v>
      </c>
      <c r="D699" s="86" t="s">
        <v>112</v>
      </c>
      <c r="E699" s="85" t="s">
        <v>113</v>
      </c>
      <c r="F699" s="28">
        <f>F700</f>
        <v>8272.8</v>
      </c>
      <c r="G699" s="28">
        <f t="shared" si="254"/>
        <v>0</v>
      </c>
      <c r="H699" s="28">
        <f t="shared" si="254"/>
        <v>0</v>
      </c>
    </row>
    <row r="700" spans="1:8" ht="12.75">
      <c r="A700" s="84" t="s">
        <v>13</v>
      </c>
      <c r="B700" s="3" t="s">
        <v>56</v>
      </c>
      <c r="C700" s="11" t="s">
        <v>365</v>
      </c>
      <c r="D700" s="84">
        <v>610</v>
      </c>
      <c r="E700" s="85" t="s">
        <v>130</v>
      </c>
      <c r="F700" s="28">
        <f>7674.5+598.3</f>
        <v>8272.8</v>
      </c>
      <c r="G700" s="28">
        <v>0</v>
      </c>
      <c r="H700" s="28">
        <v>0</v>
      </c>
    </row>
    <row r="701" spans="1:8" ht="48" customHeight="1">
      <c r="A701" s="3" t="s">
        <v>13</v>
      </c>
      <c r="B701" s="3" t="s">
        <v>56</v>
      </c>
      <c r="C701" s="11" t="s">
        <v>228</v>
      </c>
      <c r="D701" s="13"/>
      <c r="E701" s="9" t="s">
        <v>129</v>
      </c>
      <c r="F701" s="28">
        <f>F702</f>
        <v>93485.5</v>
      </c>
      <c r="G701" s="28">
        <f aca="true" t="shared" si="255" ref="G701:H702">G702</f>
        <v>87964.5</v>
      </c>
      <c r="H701" s="28">
        <f t="shared" si="255"/>
        <v>87964.5</v>
      </c>
    </row>
    <row r="702" spans="1:8" ht="31.5">
      <c r="A702" s="3" t="s">
        <v>13</v>
      </c>
      <c r="B702" s="3" t="s">
        <v>56</v>
      </c>
      <c r="C702" s="11" t="s">
        <v>228</v>
      </c>
      <c r="D702" s="57" t="s">
        <v>112</v>
      </c>
      <c r="E702" s="56" t="s">
        <v>113</v>
      </c>
      <c r="F702" s="28">
        <f>F703</f>
        <v>93485.5</v>
      </c>
      <c r="G702" s="28">
        <f t="shared" si="255"/>
        <v>87964.5</v>
      </c>
      <c r="H702" s="28">
        <f t="shared" si="255"/>
        <v>87964.5</v>
      </c>
    </row>
    <row r="703" spans="1:8" ht="12.75">
      <c r="A703" s="55" t="s">
        <v>13</v>
      </c>
      <c r="B703" s="3" t="s">
        <v>56</v>
      </c>
      <c r="C703" s="11" t="s">
        <v>228</v>
      </c>
      <c r="D703" s="55">
        <v>610</v>
      </c>
      <c r="E703" s="56" t="s">
        <v>130</v>
      </c>
      <c r="F703" s="28">
        <f>88890.3+4595.2</f>
        <v>93485.5</v>
      </c>
      <c r="G703" s="28">
        <f>88699.3-734.8</f>
        <v>87964.5</v>
      </c>
      <c r="H703" s="28">
        <f>88699.3-734.8</f>
        <v>87964.5</v>
      </c>
    </row>
    <row r="704" spans="1:8" ht="31.5">
      <c r="A704" s="3" t="s">
        <v>13</v>
      </c>
      <c r="B704" s="3" t="s">
        <v>56</v>
      </c>
      <c r="C704" s="11" t="s">
        <v>227</v>
      </c>
      <c r="D704" s="11"/>
      <c r="E704" s="9" t="s">
        <v>151</v>
      </c>
      <c r="F704" s="28">
        <f>F705</f>
        <v>74393.5</v>
      </c>
      <c r="G704" s="28">
        <f aca="true" t="shared" si="256" ref="G704:H705">G705</f>
        <v>73814.5</v>
      </c>
      <c r="H704" s="28">
        <f t="shared" si="256"/>
        <v>73814.5</v>
      </c>
    </row>
    <row r="705" spans="1:8" ht="31.5">
      <c r="A705" s="3" t="s">
        <v>13</v>
      </c>
      <c r="B705" s="3" t="s">
        <v>56</v>
      </c>
      <c r="C705" s="11" t="s">
        <v>227</v>
      </c>
      <c r="D705" s="57" t="s">
        <v>112</v>
      </c>
      <c r="E705" s="56" t="s">
        <v>113</v>
      </c>
      <c r="F705" s="28">
        <f>F706</f>
        <v>74393.5</v>
      </c>
      <c r="G705" s="28">
        <f t="shared" si="256"/>
        <v>73814.5</v>
      </c>
      <c r="H705" s="28">
        <f t="shared" si="256"/>
        <v>73814.5</v>
      </c>
    </row>
    <row r="706" spans="1:8" ht="12.75">
      <c r="A706" s="55" t="s">
        <v>13</v>
      </c>
      <c r="B706" s="3" t="s">
        <v>56</v>
      </c>
      <c r="C706" s="11" t="s">
        <v>227</v>
      </c>
      <c r="D706" s="55">
        <v>610</v>
      </c>
      <c r="E706" s="56" t="s">
        <v>130</v>
      </c>
      <c r="F706" s="28">
        <f>73814.5+1406.2-767.4-59.8</f>
        <v>74393.5</v>
      </c>
      <c r="G706" s="28">
        <v>73814.5</v>
      </c>
      <c r="H706" s="28">
        <v>73814.5</v>
      </c>
    </row>
    <row r="707" spans="1:8" ht="48" customHeight="1">
      <c r="A707" s="3" t="s">
        <v>13</v>
      </c>
      <c r="B707" s="3" t="s">
        <v>56</v>
      </c>
      <c r="C707" s="11" t="s">
        <v>368</v>
      </c>
      <c r="D707" s="13"/>
      <c r="E707" s="9" t="s">
        <v>371</v>
      </c>
      <c r="F707" s="28">
        <f>F708</f>
        <v>827.1999999999999</v>
      </c>
      <c r="G707" s="28">
        <f aca="true" t="shared" si="257" ref="G707:H708">G708</f>
        <v>0</v>
      </c>
      <c r="H707" s="28">
        <f t="shared" si="257"/>
        <v>0</v>
      </c>
    </row>
    <row r="708" spans="1:8" ht="31.5">
      <c r="A708" s="3" t="s">
        <v>13</v>
      </c>
      <c r="B708" s="3" t="s">
        <v>56</v>
      </c>
      <c r="C708" s="11" t="s">
        <v>368</v>
      </c>
      <c r="D708" s="89" t="s">
        <v>112</v>
      </c>
      <c r="E708" s="88" t="s">
        <v>113</v>
      </c>
      <c r="F708" s="28">
        <f>F709</f>
        <v>827.1999999999999</v>
      </c>
      <c r="G708" s="28">
        <f t="shared" si="257"/>
        <v>0</v>
      </c>
      <c r="H708" s="28">
        <f t="shared" si="257"/>
        <v>0</v>
      </c>
    </row>
    <row r="709" spans="1:8" ht="12.75">
      <c r="A709" s="87" t="s">
        <v>13</v>
      </c>
      <c r="B709" s="3" t="s">
        <v>56</v>
      </c>
      <c r="C709" s="11" t="s">
        <v>368</v>
      </c>
      <c r="D709" s="87">
        <v>610</v>
      </c>
      <c r="E709" s="88" t="s">
        <v>130</v>
      </c>
      <c r="F709" s="28">
        <f>767.4+59.8</f>
        <v>827.1999999999999</v>
      </c>
      <c r="G709" s="28">
        <v>0</v>
      </c>
      <c r="H709" s="28">
        <v>0</v>
      </c>
    </row>
    <row r="710" spans="1:8" ht="63">
      <c r="A710" s="3" t="s">
        <v>13</v>
      </c>
      <c r="B710" s="3" t="s">
        <v>56</v>
      </c>
      <c r="C710" s="68">
        <v>1110500000</v>
      </c>
      <c r="D710" s="68"/>
      <c r="E710" s="69" t="s">
        <v>233</v>
      </c>
      <c r="F710" s="28">
        <f>F711</f>
        <v>418.2</v>
      </c>
      <c r="G710" s="28">
        <f aca="true" t="shared" si="258" ref="G710:H712">G711</f>
        <v>0</v>
      </c>
      <c r="H710" s="28">
        <f t="shared" si="258"/>
        <v>0</v>
      </c>
    </row>
    <row r="711" spans="1:8" ht="18.75" customHeight="1">
      <c r="A711" s="68" t="s">
        <v>13</v>
      </c>
      <c r="B711" s="3" t="s">
        <v>56</v>
      </c>
      <c r="C711" s="11" t="s">
        <v>338</v>
      </c>
      <c r="D711" s="68"/>
      <c r="E711" s="163" t="s">
        <v>339</v>
      </c>
      <c r="F711" s="28">
        <f>F712</f>
        <v>418.2</v>
      </c>
      <c r="G711" s="28">
        <f t="shared" si="258"/>
        <v>0</v>
      </c>
      <c r="H711" s="28">
        <f t="shared" si="258"/>
        <v>0</v>
      </c>
    </row>
    <row r="712" spans="1:8" ht="31.5">
      <c r="A712" s="3" t="s">
        <v>13</v>
      </c>
      <c r="B712" s="3" t="s">
        <v>56</v>
      </c>
      <c r="C712" s="11" t="s">
        <v>338</v>
      </c>
      <c r="D712" s="70" t="s">
        <v>112</v>
      </c>
      <c r="E712" s="69" t="s">
        <v>113</v>
      </c>
      <c r="F712" s="28">
        <f>F713</f>
        <v>418.2</v>
      </c>
      <c r="G712" s="28">
        <f t="shared" si="258"/>
        <v>0</v>
      </c>
      <c r="H712" s="28">
        <f t="shared" si="258"/>
        <v>0</v>
      </c>
    </row>
    <row r="713" spans="1:8" ht="12.75">
      <c r="A713" s="3" t="s">
        <v>13</v>
      </c>
      <c r="B713" s="3" t="s">
        <v>56</v>
      </c>
      <c r="C713" s="11" t="s">
        <v>338</v>
      </c>
      <c r="D713" s="68">
        <v>610</v>
      </c>
      <c r="E713" s="69" t="s">
        <v>130</v>
      </c>
      <c r="F713" s="28">
        <v>418.2</v>
      </c>
      <c r="G713" s="28">
        <v>0</v>
      </c>
      <c r="H713" s="28">
        <v>0</v>
      </c>
    </row>
    <row r="714" spans="1:8" ht="31.5">
      <c r="A714" s="3" t="s">
        <v>13</v>
      </c>
      <c r="B714" s="3" t="s">
        <v>56</v>
      </c>
      <c r="C714" s="102">
        <v>1500000000</v>
      </c>
      <c r="D714" s="100"/>
      <c r="E714" s="101" t="s">
        <v>243</v>
      </c>
      <c r="F714" s="28">
        <f>F715</f>
        <v>653.5</v>
      </c>
      <c r="G714" s="28">
        <f aca="true" t="shared" si="259" ref="G714:H718">G715</f>
        <v>0</v>
      </c>
      <c r="H714" s="28">
        <f t="shared" si="259"/>
        <v>0</v>
      </c>
    </row>
    <row r="715" spans="1:8" ht="31.5">
      <c r="A715" s="3" t="s">
        <v>13</v>
      </c>
      <c r="B715" s="3" t="s">
        <v>56</v>
      </c>
      <c r="C715" s="102">
        <v>1520000000</v>
      </c>
      <c r="D715" s="100"/>
      <c r="E715" s="101" t="s">
        <v>235</v>
      </c>
      <c r="F715" s="28">
        <f>F716</f>
        <v>653.5</v>
      </c>
      <c r="G715" s="28">
        <f t="shared" si="259"/>
        <v>0</v>
      </c>
      <c r="H715" s="28">
        <f t="shared" si="259"/>
        <v>0</v>
      </c>
    </row>
    <row r="716" spans="1:8" ht="63">
      <c r="A716" s="3" t="s">
        <v>13</v>
      </c>
      <c r="B716" s="3" t="s">
        <v>56</v>
      </c>
      <c r="C716" s="100">
        <v>1520100000</v>
      </c>
      <c r="D716" s="100"/>
      <c r="E716" s="101" t="s">
        <v>311</v>
      </c>
      <c r="F716" s="28">
        <f>F717</f>
        <v>653.5</v>
      </c>
      <c r="G716" s="28">
        <f t="shared" si="259"/>
        <v>0</v>
      </c>
      <c r="H716" s="28">
        <f t="shared" si="259"/>
        <v>0</v>
      </c>
    </row>
    <row r="717" spans="1:8" ht="31.5">
      <c r="A717" s="3" t="s">
        <v>13</v>
      </c>
      <c r="B717" s="3" t="s">
        <v>56</v>
      </c>
      <c r="C717" s="11" t="s">
        <v>376</v>
      </c>
      <c r="D717" s="100"/>
      <c r="E717" s="101" t="s">
        <v>377</v>
      </c>
      <c r="F717" s="28">
        <f>F718</f>
        <v>653.5</v>
      </c>
      <c r="G717" s="28">
        <f t="shared" si="259"/>
        <v>0</v>
      </c>
      <c r="H717" s="28">
        <f t="shared" si="259"/>
        <v>0</v>
      </c>
    </row>
    <row r="718" spans="1:8" ht="31.5">
      <c r="A718" s="3" t="s">
        <v>13</v>
      </c>
      <c r="B718" s="3" t="s">
        <v>56</v>
      </c>
      <c r="C718" s="11" t="s">
        <v>376</v>
      </c>
      <c r="D718" s="102" t="s">
        <v>112</v>
      </c>
      <c r="E718" s="101" t="s">
        <v>113</v>
      </c>
      <c r="F718" s="28">
        <f>F719</f>
        <v>653.5</v>
      </c>
      <c r="G718" s="28">
        <f t="shared" si="259"/>
        <v>0</v>
      </c>
      <c r="H718" s="28">
        <f t="shared" si="259"/>
        <v>0</v>
      </c>
    </row>
    <row r="719" spans="1:8" ht="12.75">
      <c r="A719" s="3" t="s">
        <v>13</v>
      </c>
      <c r="B719" s="3" t="s">
        <v>56</v>
      </c>
      <c r="C719" s="11" t="s">
        <v>376</v>
      </c>
      <c r="D719" s="100">
        <v>610</v>
      </c>
      <c r="E719" s="101" t="s">
        <v>130</v>
      </c>
      <c r="F719" s="28">
        <v>653.5</v>
      </c>
      <c r="G719" s="28">
        <v>0</v>
      </c>
      <c r="H719" s="28">
        <v>0</v>
      </c>
    </row>
    <row r="720" spans="1:8" ht="12.75">
      <c r="A720" s="55" t="s">
        <v>13</v>
      </c>
      <c r="B720" s="55" t="s">
        <v>57</v>
      </c>
      <c r="C720" s="55" t="s">
        <v>72</v>
      </c>
      <c r="D720" s="55" t="s">
        <v>72</v>
      </c>
      <c r="E720" s="56" t="s">
        <v>15</v>
      </c>
      <c r="F720" s="28">
        <f>F721+F773+F783</f>
        <v>244140.79999999996</v>
      </c>
      <c r="G720" s="28">
        <f>G721+G773+G783</f>
        <v>224204.30000000002</v>
      </c>
      <c r="H720" s="28">
        <f>H721+H773+H783</f>
        <v>224204.30000000002</v>
      </c>
    </row>
    <row r="721" spans="1:8" ht="37.9" customHeight="1">
      <c r="A721" s="55" t="s">
        <v>13</v>
      </c>
      <c r="B721" s="55" t="s">
        <v>57</v>
      </c>
      <c r="C721" s="57">
        <v>1100000000</v>
      </c>
      <c r="D721" s="55"/>
      <c r="E721" s="56" t="s">
        <v>247</v>
      </c>
      <c r="F721" s="28">
        <f>F722+F760+F765</f>
        <v>243498.39999999997</v>
      </c>
      <c r="G721" s="28">
        <f>G722+G760+G765</f>
        <v>224204.30000000002</v>
      </c>
      <c r="H721" s="28">
        <f>H722+H760+H765</f>
        <v>224204.30000000002</v>
      </c>
    </row>
    <row r="722" spans="1:8" ht="12.75">
      <c r="A722" s="55" t="s">
        <v>13</v>
      </c>
      <c r="B722" s="55" t="s">
        <v>57</v>
      </c>
      <c r="C722" s="55">
        <v>1110000000</v>
      </c>
      <c r="D722" s="55"/>
      <c r="E722" s="60" t="s">
        <v>329</v>
      </c>
      <c r="F722" s="28">
        <f>F723+F736+F743+F753</f>
        <v>239629.89999999997</v>
      </c>
      <c r="G722" s="28">
        <f>G723+G736+G743+G753</f>
        <v>220489.80000000002</v>
      </c>
      <c r="H722" s="28">
        <f>H723+H736+H743+H753</f>
        <v>220489.80000000002</v>
      </c>
    </row>
    <row r="723" spans="1:8" ht="47.25">
      <c r="A723" s="55" t="s">
        <v>13</v>
      </c>
      <c r="B723" s="55" t="s">
        <v>57</v>
      </c>
      <c r="C723" s="55">
        <v>1110100000</v>
      </c>
      <c r="D723" s="31"/>
      <c r="E723" s="56" t="s">
        <v>226</v>
      </c>
      <c r="F723" s="28">
        <f>F730+F727+F724+F733</f>
        <v>221490.59999999998</v>
      </c>
      <c r="G723" s="28">
        <f aca="true" t="shared" si="260" ref="G723:H723">G730+G727+G724+G733</f>
        <v>216144.5</v>
      </c>
      <c r="H723" s="28">
        <f t="shared" si="260"/>
        <v>216144.5</v>
      </c>
    </row>
    <row r="724" spans="1:8" ht="51.75" customHeight="1">
      <c r="A724" s="84" t="s">
        <v>13</v>
      </c>
      <c r="B724" s="84" t="s">
        <v>57</v>
      </c>
      <c r="C724" s="11" t="s">
        <v>365</v>
      </c>
      <c r="D724" s="13"/>
      <c r="E724" s="9" t="s">
        <v>366</v>
      </c>
      <c r="F724" s="28">
        <f>F725</f>
        <v>1264.1000000000001</v>
      </c>
      <c r="G724" s="28">
        <f aca="true" t="shared" si="261" ref="G724:H725">G725</f>
        <v>0</v>
      </c>
      <c r="H724" s="28">
        <f t="shared" si="261"/>
        <v>0</v>
      </c>
    </row>
    <row r="725" spans="1:8" ht="31.5">
      <c r="A725" s="84" t="s">
        <v>13</v>
      </c>
      <c r="B725" s="84" t="s">
        <v>57</v>
      </c>
      <c r="C725" s="11" t="s">
        <v>365</v>
      </c>
      <c r="D725" s="86" t="s">
        <v>112</v>
      </c>
      <c r="E725" s="85" t="s">
        <v>113</v>
      </c>
      <c r="F725" s="28">
        <f>F726</f>
        <v>1264.1000000000001</v>
      </c>
      <c r="G725" s="28">
        <f t="shared" si="261"/>
        <v>0</v>
      </c>
      <c r="H725" s="28">
        <f t="shared" si="261"/>
        <v>0</v>
      </c>
    </row>
    <row r="726" spans="1:8" ht="12.75">
      <c r="A726" s="84" t="s">
        <v>13</v>
      </c>
      <c r="B726" s="84" t="s">
        <v>57</v>
      </c>
      <c r="C726" s="11" t="s">
        <v>365</v>
      </c>
      <c r="D726" s="84">
        <v>610</v>
      </c>
      <c r="E726" s="85" t="s">
        <v>130</v>
      </c>
      <c r="F726" s="28">
        <f>1172.7+91.4</f>
        <v>1264.1000000000001</v>
      </c>
      <c r="G726" s="28">
        <v>0</v>
      </c>
      <c r="H726" s="28">
        <v>0</v>
      </c>
    </row>
    <row r="727" spans="1:8" ht="94.5">
      <c r="A727" s="55" t="s">
        <v>13</v>
      </c>
      <c r="B727" s="55" t="s">
        <v>57</v>
      </c>
      <c r="C727" s="55">
        <v>1110110750</v>
      </c>
      <c r="D727" s="55"/>
      <c r="E727" s="56" t="s">
        <v>229</v>
      </c>
      <c r="F727" s="28">
        <f>F728</f>
        <v>180708.3</v>
      </c>
      <c r="G727" s="28">
        <f aca="true" t="shared" si="262" ref="G727:H728">G728</f>
        <v>176961.6</v>
      </c>
      <c r="H727" s="28">
        <f t="shared" si="262"/>
        <v>176961.6</v>
      </c>
    </row>
    <row r="728" spans="1:8" ht="31.5">
      <c r="A728" s="55" t="s">
        <v>13</v>
      </c>
      <c r="B728" s="55" t="s">
        <v>57</v>
      </c>
      <c r="C728" s="55">
        <v>1110110750</v>
      </c>
      <c r="D728" s="57" t="s">
        <v>112</v>
      </c>
      <c r="E728" s="56" t="s">
        <v>113</v>
      </c>
      <c r="F728" s="28">
        <f>F729</f>
        <v>180708.3</v>
      </c>
      <c r="G728" s="28">
        <f t="shared" si="262"/>
        <v>176961.6</v>
      </c>
      <c r="H728" s="28">
        <f t="shared" si="262"/>
        <v>176961.6</v>
      </c>
    </row>
    <row r="729" spans="1:8" ht="12.75">
      <c r="A729" s="55" t="s">
        <v>13</v>
      </c>
      <c r="B729" s="55" t="s">
        <v>57</v>
      </c>
      <c r="C729" s="55">
        <v>1110110750</v>
      </c>
      <c r="D729" s="55">
        <v>610</v>
      </c>
      <c r="E729" s="56" t="s">
        <v>130</v>
      </c>
      <c r="F729" s="28">
        <v>180708.3</v>
      </c>
      <c r="G729" s="28">
        <f>179999.7-3038.1</f>
        <v>176961.6</v>
      </c>
      <c r="H729" s="28">
        <f>179999.7-3038.1</f>
        <v>176961.6</v>
      </c>
    </row>
    <row r="730" spans="1:8" ht="31.5">
      <c r="A730" s="55" t="s">
        <v>13</v>
      </c>
      <c r="B730" s="55" t="s">
        <v>57</v>
      </c>
      <c r="C730" s="11" t="s">
        <v>227</v>
      </c>
      <c r="D730" s="11"/>
      <c r="E730" s="9" t="s">
        <v>151</v>
      </c>
      <c r="F730" s="28">
        <f>F731</f>
        <v>39391.8</v>
      </c>
      <c r="G730" s="28">
        <f aca="true" t="shared" si="263" ref="G730:H731">G731</f>
        <v>39182.9</v>
      </c>
      <c r="H730" s="28">
        <f t="shared" si="263"/>
        <v>39182.9</v>
      </c>
    </row>
    <row r="731" spans="1:8" ht="31.5">
      <c r="A731" s="55" t="s">
        <v>13</v>
      </c>
      <c r="B731" s="55" t="s">
        <v>57</v>
      </c>
      <c r="C731" s="11" t="s">
        <v>227</v>
      </c>
      <c r="D731" s="57" t="s">
        <v>112</v>
      </c>
      <c r="E731" s="56" t="s">
        <v>113</v>
      </c>
      <c r="F731" s="28">
        <f>F732</f>
        <v>39391.8</v>
      </c>
      <c r="G731" s="28">
        <f t="shared" si="263"/>
        <v>39182.9</v>
      </c>
      <c r="H731" s="28">
        <f t="shared" si="263"/>
        <v>39182.9</v>
      </c>
    </row>
    <row r="732" spans="1:8" ht="12.75">
      <c r="A732" s="55" t="s">
        <v>13</v>
      </c>
      <c r="B732" s="55" t="s">
        <v>57</v>
      </c>
      <c r="C732" s="11" t="s">
        <v>227</v>
      </c>
      <c r="D732" s="55">
        <v>610</v>
      </c>
      <c r="E732" s="56" t="s">
        <v>130</v>
      </c>
      <c r="F732" s="28">
        <f>38975.8+207.1+335.3-117.3-9.1</f>
        <v>39391.8</v>
      </c>
      <c r="G732" s="28">
        <f>38975.8+207.1</f>
        <v>39182.9</v>
      </c>
      <c r="H732" s="28">
        <f>38975.8+207.1</f>
        <v>39182.9</v>
      </c>
    </row>
    <row r="733" spans="1:8" ht="48.75" customHeight="1">
      <c r="A733" s="87" t="s">
        <v>13</v>
      </c>
      <c r="B733" s="87" t="s">
        <v>57</v>
      </c>
      <c r="C733" s="11" t="s">
        <v>368</v>
      </c>
      <c r="D733" s="13"/>
      <c r="E733" s="9" t="s">
        <v>371</v>
      </c>
      <c r="F733" s="28">
        <f>F734</f>
        <v>126.39999999999999</v>
      </c>
      <c r="G733" s="28">
        <f aca="true" t="shared" si="264" ref="G733:H734">G734</f>
        <v>0</v>
      </c>
      <c r="H733" s="28">
        <f t="shared" si="264"/>
        <v>0</v>
      </c>
    </row>
    <row r="734" spans="1:8" ht="31.5">
      <c r="A734" s="87" t="s">
        <v>13</v>
      </c>
      <c r="B734" s="87" t="s">
        <v>57</v>
      </c>
      <c r="C734" s="11" t="s">
        <v>368</v>
      </c>
      <c r="D734" s="89" t="s">
        <v>112</v>
      </c>
      <c r="E734" s="88" t="s">
        <v>113</v>
      </c>
      <c r="F734" s="28">
        <f>F735</f>
        <v>126.39999999999999</v>
      </c>
      <c r="G734" s="28">
        <f t="shared" si="264"/>
        <v>0</v>
      </c>
      <c r="H734" s="28">
        <f t="shared" si="264"/>
        <v>0</v>
      </c>
    </row>
    <row r="735" spans="1:8" ht="12.75">
      <c r="A735" s="87" t="s">
        <v>13</v>
      </c>
      <c r="B735" s="87" t="s">
        <v>57</v>
      </c>
      <c r="C735" s="11" t="s">
        <v>368</v>
      </c>
      <c r="D735" s="87">
        <v>610</v>
      </c>
      <c r="E735" s="88" t="s">
        <v>130</v>
      </c>
      <c r="F735" s="28">
        <f>117.3+9.1</f>
        <v>126.39999999999999</v>
      </c>
      <c r="G735" s="28">
        <v>0</v>
      </c>
      <c r="H735" s="28">
        <v>0</v>
      </c>
    </row>
    <row r="736" spans="1:8" ht="31.5">
      <c r="A736" s="55" t="s">
        <v>13</v>
      </c>
      <c r="B736" s="55" t="s">
        <v>57</v>
      </c>
      <c r="C736" s="55">
        <v>1110300000</v>
      </c>
      <c r="D736" s="55"/>
      <c r="E736" s="56" t="s">
        <v>230</v>
      </c>
      <c r="F736" s="28">
        <f>F740+F737</f>
        <v>8326</v>
      </c>
      <c r="G736" s="28">
        <f aca="true" t="shared" si="265" ref="G736:H736">G740+G737</f>
        <v>4201.2</v>
      </c>
      <c r="H736" s="28">
        <f t="shared" si="265"/>
        <v>4201.2</v>
      </c>
    </row>
    <row r="737" spans="1:8" ht="47.25">
      <c r="A737" s="55" t="s">
        <v>13</v>
      </c>
      <c r="B737" s="55" t="s">
        <v>57</v>
      </c>
      <c r="C737" s="55">
        <v>1110310230</v>
      </c>
      <c r="D737" s="55"/>
      <c r="E737" s="60" t="s">
        <v>313</v>
      </c>
      <c r="F737" s="28">
        <f>F738</f>
        <v>4163</v>
      </c>
      <c r="G737" s="28">
        <f aca="true" t="shared" si="266" ref="G737:H737">G738</f>
        <v>0</v>
      </c>
      <c r="H737" s="28">
        <f t="shared" si="266"/>
        <v>0</v>
      </c>
    </row>
    <row r="738" spans="1:8" ht="31.5">
      <c r="A738" s="55" t="s">
        <v>13</v>
      </c>
      <c r="B738" s="55" t="s">
        <v>57</v>
      </c>
      <c r="C738" s="55">
        <v>1110310230</v>
      </c>
      <c r="D738" s="57" t="s">
        <v>112</v>
      </c>
      <c r="E738" s="56" t="s">
        <v>113</v>
      </c>
      <c r="F738" s="28">
        <f>F739</f>
        <v>4163</v>
      </c>
      <c r="G738" s="28">
        <f aca="true" t="shared" si="267" ref="G738:H738">G739</f>
        <v>0</v>
      </c>
      <c r="H738" s="28">
        <f t="shared" si="267"/>
        <v>0</v>
      </c>
    </row>
    <row r="739" spans="1:8" ht="12.75">
      <c r="A739" s="55" t="s">
        <v>13</v>
      </c>
      <c r="B739" s="55" t="s">
        <v>57</v>
      </c>
      <c r="C739" s="55">
        <v>1110310230</v>
      </c>
      <c r="D739" s="55">
        <v>610</v>
      </c>
      <c r="E739" s="56" t="s">
        <v>130</v>
      </c>
      <c r="F739" s="28">
        <v>4163</v>
      </c>
      <c r="G739" s="28">
        <v>0</v>
      </c>
      <c r="H739" s="28">
        <v>0</v>
      </c>
    </row>
    <row r="740" spans="1:8" ht="47.25">
      <c r="A740" s="55" t="s">
        <v>13</v>
      </c>
      <c r="B740" s="55" t="s">
        <v>57</v>
      </c>
      <c r="C740" s="55" t="s">
        <v>232</v>
      </c>
      <c r="D740" s="55"/>
      <c r="E740" s="56" t="s">
        <v>231</v>
      </c>
      <c r="F740" s="28">
        <f>F741</f>
        <v>4163</v>
      </c>
      <c r="G740" s="28">
        <f aca="true" t="shared" si="268" ref="G740:H741">G741</f>
        <v>4201.2</v>
      </c>
      <c r="H740" s="28">
        <f t="shared" si="268"/>
        <v>4201.2</v>
      </c>
    </row>
    <row r="741" spans="1:8" ht="31.5">
      <c r="A741" s="55" t="s">
        <v>13</v>
      </c>
      <c r="B741" s="55" t="s">
        <v>57</v>
      </c>
      <c r="C741" s="55" t="s">
        <v>232</v>
      </c>
      <c r="D741" s="57" t="s">
        <v>112</v>
      </c>
      <c r="E741" s="56" t="s">
        <v>113</v>
      </c>
      <c r="F741" s="28">
        <f>F742</f>
        <v>4163</v>
      </c>
      <c r="G741" s="28">
        <f t="shared" si="268"/>
        <v>4201.2</v>
      </c>
      <c r="H741" s="28">
        <f t="shared" si="268"/>
        <v>4201.2</v>
      </c>
    </row>
    <row r="742" spans="1:8" ht="12.75">
      <c r="A742" s="55" t="s">
        <v>13</v>
      </c>
      <c r="B742" s="55" t="s">
        <v>57</v>
      </c>
      <c r="C742" s="55" t="s">
        <v>232</v>
      </c>
      <c r="D742" s="55">
        <v>610</v>
      </c>
      <c r="E742" s="56" t="s">
        <v>130</v>
      </c>
      <c r="F742" s="28">
        <v>4163</v>
      </c>
      <c r="G742" s="28">
        <v>4201.2</v>
      </c>
      <c r="H742" s="28">
        <v>4201.2</v>
      </c>
    </row>
    <row r="743" spans="1:8" ht="63">
      <c r="A743" s="55" t="s">
        <v>13</v>
      </c>
      <c r="B743" s="55" t="s">
        <v>57</v>
      </c>
      <c r="C743" s="55">
        <v>1110500000</v>
      </c>
      <c r="D743" s="55"/>
      <c r="E743" s="56" t="s">
        <v>233</v>
      </c>
      <c r="F743" s="28">
        <f>F747+F744+F750</f>
        <v>9551.3</v>
      </c>
      <c r="G743" s="28">
        <f aca="true" t="shared" si="269" ref="G743:H743">G747+G744</f>
        <v>0</v>
      </c>
      <c r="H743" s="28">
        <f t="shared" si="269"/>
        <v>0</v>
      </c>
    </row>
    <row r="744" spans="1:8" ht="47.25">
      <c r="A744" s="59" t="s">
        <v>13</v>
      </c>
      <c r="B744" s="59" t="s">
        <v>57</v>
      </c>
      <c r="C744" s="59">
        <v>1110510440</v>
      </c>
      <c r="D744" s="59"/>
      <c r="E744" s="60" t="s">
        <v>328</v>
      </c>
      <c r="F744" s="28">
        <f>F745</f>
        <v>6050.099999999999</v>
      </c>
      <c r="G744" s="28">
        <f aca="true" t="shared" si="270" ref="G744:H745">G745</f>
        <v>0</v>
      </c>
      <c r="H744" s="28">
        <f t="shared" si="270"/>
        <v>0</v>
      </c>
    </row>
    <row r="745" spans="1:8" ht="31.5">
      <c r="A745" s="59" t="s">
        <v>13</v>
      </c>
      <c r="B745" s="59" t="s">
        <v>57</v>
      </c>
      <c r="C745" s="59">
        <v>1110510440</v>
      </c>
      <c r="D745" s="61" t="s">
        <v>112</v>
      </c>
      <c r="E745" s="60" t="s">
        <v>113</v>
      </c>
      <c r="F745" s="28">
        <f>F746</f>
        <v>6050.099999999999</v>
      </c>
      <c r="G745" s="28">
        <f t="shared" si="270"/>
        <v>0</v>
      </c>
      <c r="H745" s="28">
        <f t="shared" si="270"/>
        <v>0</v>
      </c>
    </row>
    <row r="746" spans="1:8" ht="12.75">
      <c r="A746" s="59" t="s">
        <v>13</v>
      </c>
      <c r="B746" s="59" t="s">
        <v>57</v>
      </c>
      <c r="C746" s="59">
        <v>1110510440</v>
      </c>
      <c r="D746" s="59">
        <v>610</v>
      </c>
      <c r="E746" s="60" t="s">
        <v>130</v>
      </c>
      <c r="F746" s="28">
        <f>8404.3-2354.2</f>
        <v>6050.099999999999</v>
      </c>
      <c r="G746" s="28">
        <v>0</v>
      </c>
      <c r="H746" s="28">
        <v>0</v>
      </c>
    </row>
    <row r="747" spans="1:8" ht="36.75" customHeight="1">
      <c r="A747" s="55" t="s">
        <v>13</v>
      </c>
      <c r="B747" s="55" t="s">
        <v>57</v>
      </c>
      <c r="C747" s="55" t="s">
        <v>234</v>
      </c>
      <c r="D747" s="55"/>
      <c r="E747" s="56" t="s">
        <v>320</v>
      </c>
      <c r="F747" s="28">
        <f>F748</f>
        <v>2179.9000000000005</v>
      </c>
      <c r="G747" s="28">
        <f aca="true" t="shared" si="271" ref="G747:H748">G748</f>
        <v>0</v>
      </c>
      <c r="H747" s="28">
        <f t="shared" si="271"/>
        <v>0</v>
      </c>
    </row>
    <row r="748" spans="1:8" ht="31.5">
      <c r="A748" s="55" t="s">
        <v>13</v>
      </c>
      <c r="B748" s="55" t="s">
        <v>57</v>
      </c>
      <c r="C748" s="55" t="s">
        <v>234</v>
      </c>
      <c r="D748" s="57" t="s">
        <v>112</v>
      </c>
      <c r="E748" s="56" t="s">
        <v>113</v>
      </c>
      <c r="F748" s="28">
        <f>F749</f>
        <v>2179.9000000000005</v>
      </c>
      <c r="G748" s="28">
        <f t="shared" si="271"/>
        <v>0</v>
      </c>
      <c r="H748" s="28">
        <f t="shared" si="271"/>
        <v>0</v>
      </c>
    </row>
    <row r="749" spans="1:8" ht="12.75">
      <c r="A749" s="55" t="s">
        <v>13</v>
      </c>
      <c r="B749" s="55" t="s">
        <v>57</v>
      </c>
      <c r="C749" s="55" t="s">
        <v>234</v>
      </c>
      <c r="D749" s="55">
        <v>610</v>
      </c>
      <c r="E749" s="56" t="s">
        <v>130</v>
      </c>
      <c r="F749" s="28">
        <f>5374-828.9-2365.2</f>
        <v>2179.9000000000005</v>
      </c>
      <c r="G749" s="28">
        <v>0</v>
      </c>
      <c r="H749" s="28">
        <v>0</v>
      </c>
    </row>
    <row r="750" spans="1:8" ht="21.75" customHeight="1">
      <c r="A750" s="100" t="s">
        <v>13</v>
      </c>
      <c r="B750" s="100" t="s">
        <v>57</v>
      </c>
      <c r="C750" s="11" t="s">
        <v>338</v>
      </c>
      <c r="D750" s="100"/>
      <c r="E750" s="101" t="s">
        <v>339</v>
      </c>
      <c r="F750" s="28">
        <f>F751</f>
        <v>1321.3</v>
      </c>
      <c r="G750" s="28">
        <f aca="true" t="shared" si="272" ref="G750:H751">G751</f>
        <v>0</v>
      </c>
      <c r="H750" s="28">
        <f t="shared" si="272"/>
        <v>0</v>
      </c>
    </row>
    <row r="751" spans="1:8" ht="31.5">
      <c r="A751" s="100" t="s">
        <v>13</v>
      </c>
      <c r="B751" s="100" t="s">
        <v>57</v>
      </c>
      <c r="C751" s="11" t="s">
        <v>338</v>
      </c>
      <c r="D751" s="102" t="s">
        <v>112</v>
      </c>
      <c r="E751" s="101" t="s">
        <v>113</v>
      </c>
      <c r="F751" s="28">
        <f>F752</f>
        <v>1321.3</v>
      </c>
      <c r="G751" s="28">
        <f t="shared" si="272"/>
        <v>0</v>
      </c>
      <c r="H751" s="28">
        <f t="shared" si="272"/>
        <v>0</v>
      </c>
    </row>
    <row r="752" spans="1:8" ht="12.75">
      <c r="A752" s="100" t="s">
        <v>13</v>
      </c>
      <c r="B752" s="100" t="s">
        <v>57</v>
      </c>
      <c r="C752" s="11" t="s">
        <v>338</v>
      </c>
      <c r="D752" s="102">
        <v>610</v>
      </c>
      <c r="E752" s="101" t="s">
        <v>130</v>
      </c>
      <c r="F752" s="28">
        <f>1212.3+109</f>
        <v>1321.3</v>
      </c>
      <c r="G752" s="28">
        <v>0</v>
      </c>
      <c r="H752" s="28">
        <v>0</v>
      </c>
    </row>
    <row r="753" spans="1:8" ht="63">
      <c r="A753" s="55" t="s">
        <v>13</v>
      </c>
      <c r="B753" s="55" t="s">
        <v>57</v>
      </c>
      <c r="C753" s="55">
        <v>1110600000</v>
      </c>
      <c r="D753" s="55"/>
      <c r="E753" s="56" t="s">
        <v>303</v>
      </c>
      <c r="F753" s="28">
        <f>F757+F754</f>
        <v>262</v>
      </c>
      <c r="G753" s="28">
        <f aca="true" t="shared" si="273" ref="G753:H753">G757+G754</f>
        <v>144.1</v>
      </c>
      <c r="H753" s="28">
        <f t="shared" si="273"/>
        <v>144.1</v>
      </c>
    </row>
    <row r="754" spans="1:8" ht="36" customHeight="1">
      <c r="A754" s="59" t="s">
        <v>13</v>
      </c>
      <c r="B754" s="59" t="s">
        <v>57</v>
      </c>
      <c r="C754" s="59">
        <v>1110610440</v>
      </c>
      <c r="D754" s="59"/>
      <c r="E754" s="168" t="s">
        <v>320</v>
      </c>
      <c r="F754" s="28">
        <f>F755</f>
        <v>131</v>
      </c>
      <c r="G754" s="28">
        <f aca="true" t="shared" si="274" ref="G754:H755">G755</f>
        <v>0</v>
      </c>
      <c r="H754" s="28">
        <f t="shared" si="274"/>
        <v>0</v>
      </c>
    </row>
    <row r="755" spans="1:8" ht="31.5">
      <c r="A755" s="59" t="s">
        <v>13</v>
      </c>
      <c r="B755" s="59" t="s">
        <v>57</v>
      </c>
      <c r="C755" s="59">
        <v>1110610440</v>
      </c>
      <c r="D755" s="61" t="s">
        <v>112</v>
      </c>
      <c r="E755" s="60" t="s">
        <v>113</v>
      </c>
      <c r="F755" s="28">
        <f>F756</f>
        <v>131</v>
      </c>
      <c r="G755" s="28">
        <f t="shared" si="274"/>
        <v>0</v>
      </c>
      <c r="H755" s="28">
        <f t="shared" si="274"/>
        <v>0</v>
      </c>
    </row>
    <row r="756" spans="1:8" ht="12.75">
      <c r="A756" s="59" t="s">
        <v>13</v>
      </c>
      <c r="B756" s="59" t="s">
        <v>57</v>
      </c>
      <c r="C756" s="59">
        <v>1110610440</v>
      </c>
      <c r="D756" s="59">
        <v>610</v>
      </c>
      <c r="E756" s="60" t="s">
        <v>130</v>
      </c>
      <c r="F756" s="28">
        <f>144.1-13.1</f>
        <v>131</v>
      </c>
      <c r="G756" s="28">
        <v>0</v>
      </c>
      <c r="H756" s="28">
        <v>0</v>
      </c>
    </row>
    <row r="757" spans="1:8" ht="35.25" customHeight="1">
      <c r="A757" s="55" t="s">
        <v>13</v>
      </c>
      <c r="B757" s="55" t="s">
        <v>57</v>
      </c>
      <c r="C757" s="55" t="s">
        <v>302</v>
      </c>
      <c r="D757" s="55"/>
      <c r="E757" s="56" t="s">
        <v>320</v>
      </c>
      <c r="F757" s="28">
        <f>F758</f>
        <v>131</v>
      </c>
      <c r="G757" s="28">
        <f aca="true" t="shared" si="275" ref="G757:H757">G758</f>
        <v>144.1</v>
      </c>
      <c r="H757" s="28">
        <f t="shared" si="275"/>
        <v>144.1</v>
      </c>
    </row>
    <row r="758" spans="1:8" ht="31.5">
      <c r="A758" s="55" t="s">
        <v>13</v>
      </c>
      <c r="B758" s="55" t="s">
        <v>57</v>
      </c>
      <c r="C758" s="55" t="s">
        <v>302</v>
      </c>
      <c r="D758" s="57" t="s">
        <v>112</v>
      </c>
      <c r="E758" s="56" t="s">
        <v>113</v>
      </c>
      <c r="F758" s="28">
        <f>F759</f>
        <v>131</v>
      </c>
      <c r="G758" s="28">
        <f aca="true" t="shared" si="276" ref="G758:H758">G759</f>
        <v>144.1</v>
      </c>
      <c r="H758" s="28">
        <f t="shared" si="276"/>
        <v>144.1</v>
      </c>
    </row>
    <row r="759" spans="1:8" ht="12.75">
      <c r="A759" s="55" t="s">
        <v>13</v>
      </c>
      <c r="B759" s="55" t="s">
        <v>57</v>
      </c>
      <c r="C759" s="55" t="s">
        <v>302</v>
      </c>
      <c r="D759" s="55">
        <v>610</v>
      </c>
      <c r="E759" s="56" t="s">
        <v>130</v>
      </c>
      <c r="F759" s="28">
        <f>144.1-13.1</f>
        <v>131</v>
      </c>
      <c r="G759" s="28">
        <v>144.1</v>
      </c>
      <c r="H759" s="28">
        <v>144.1</v>
      </c>
    </row>
    <row r="760" spans="1:8" ht="12.75">
      <c r="A760" s="55" t="s">
        <v>13</v>
      </c>
      <c r="B760" s="55" t="s">
        <v>57</v>
      </c>
      <c r="C760" s="55">
        <v>1120000000</v>
      </c>
      <c r="D760" s="55"/>
      <c r="E760" s="56" t="s">
        <v>149</v>
      </c>
      <c r="F760" s="28">
        <f>F761</f>
        <v>3760.5</v>
      </c>
      <c r="G760" s="28">
        <f aca="true" t="shared" si="277" ref="G760:H763">G761</f>
        <v>3714.5</v>
      </c>
      <c r="H760" s="28">
        <f t="shared" si="277"/>
        <v>3714.5</v>
      </c>
    </row>
    <row r="761" spans="1:8" ht="47.25">
      <c r="A761" s="55" t="s">
        <v>13</v>
      </c>
      <c r="B761" s="55" t="s">
        <v>57</v>
      </c>
      <c r="C761" s="55">
        <v>1120100000</v>
      </c>
      <c r="D761" s="55"/>
      <c r="E761" s="56" t="s">
        <v>150</v>
      </c>
      <c r="F761" s="28">
        <f>F762</f>
        <v>3760.5</v>
      </c>
      <c r="G761" s="28">
        <f t="shared" si="277"/>
        <v>3714.5</v>
      </c>
      <c r="H761" s="28">
        <f t="shared" si="277"/>
        <v>3714.5</v>
      </c>
    </row>
    <row r="762" spans="1:8" ht="31.5">
      <c r="A762" s="55" t="s">
        <v>13</v>
      </c>
      <c r="B762" s="55" t="s">
        <v>57</v>
      </c>
      <c r="C762" s="55">
        <v>1120120010</v>
      </c>
      <c r="D762" s="55"/>
      <c r="E762" s="56" t="s">
        <v>151</v>
      </c>
      <c r="F762" s="28">
        <f>F763</f>
        <v>3760.5</v>
      </c>
      <c r="G762" s="28">
        <f t="shared" si="277"/>
        <v>3714.5</v>
      </c>
      <c r="H762" s="28">
        <f t="shared" si="277"/>
        <v>3714.5</v>
      </c>
    </row>
    <row r="763" spans="1:8" ht="31.5">
      <c r="A763" s="55" t="s">
        <v>13</v>
      </c>
      <c r="B763" s="55" t="s">
        <v>57</v>
      </c>
      <c r="C763" s="55">
        <v>1120120010</v>
      </c>
      <c r="D763" s="57" t="s">
        <v>112</v>
      </c>
      <c r="E763" s="56" t="s">
        <v>113</v>
      </c>
      <c r="F763" s="28">
        <f>F764</f>
        <v>3760.5</v>
      </c>
      <c r="G763" s="28">
        <f t="shared" si="277"/>
        <v>3714.5</v>
      </c>
      <c r="H763" s="28">
        <f t="shared" si="277"/>
        <v>3714.5</v>
      </c>
    </row>
    <row r="764" spans="1:8" ht="12.75">
      <c r="A764" s="55" t="s">
        <v>13</v>
      </c>
      <c r="B764" s="55" t="s">
        <v>57</v>
      </c>
      <c r="C764" s="55">
        <v>1120120010</v>
      </c>
      <c r="D764" s="55">
        <v>610</v>
      </c>
      <c r="E764" s="56" t="s">
        <v>130</v>
      </c>
      <c r="F764" s="28">
        <f>3714.5+46</f>
        <v>3760.5</v>
      </c>
      <c r="G764" s="28">
        <v>3714.5</v>
      </c>
      <c r="H764" s="28">
        <v>3714.5</v>
      </c>
    </row>
    <row r="765" spans="1:8" ht="31.5">
      <c r="A765" s="55" t="s">
        <v>13</v>
      </c>
      <c r="B765" s="55" t="s">
        <v>57</v>
      </c>
      <c r="C765" s="55">
        <v>1130000000</v>
      </c>
      <c r="D765" s="55"/>
      <c r="E765" s="56" t="s">
        <v>142</v>
      </c>
      <c r="F765" s="28">
        <f>F766</f>
        <v>108</v>
      </c>
      <c r="G765" s="28">
        <f aca="true" t="shared" si="278" ref="G765:H771">G766</f>
        <v>0</v>
      </c>
      <c r="H765" s="28">
        <f t="shared" si="278"/>
        <v>0</v>
      </c>
    </row>
    <row r="766" spans="1:8" ht="31.5">
      <c r="A766" s="55" t="s">
        <v>13</v>
      </c>
      <c r="B766" s="55" t="s">
        <v>57</v>
      </c>
      <c r="C766" s="55">
        <v>1130100000</v>
      </c>
      <c r="D766" s="55"/>
      <c r="E766" s="56" t="s">
        <v>293</v>
      </c>
      <c r="F766" s="28">
        <f>F770+F767</f>
        <v>108</v>
      </c>
      <c r="G766" s="28">
        <f aca="true" t="shared" si="279" ref="G766:H766">G770+G767</f>
        <v>0</v>
      </c>
      <c r="H766" s="28">
        <f t="shared" si="279"/>
        <v>0</v>
      </c>
    </row>
    <row r="767" spans="1:8" ht="78.75">
      <c r="A767" s="55" t="s">
        <v>13</v>
      </c>
      <c r="B767" s="55" t="s">
        <v>57</v>
      </c>
      <c r="C767" s="55">
        <v>1130110660</v>
      </c>
      <c r="D767" s="55"/>
      <c r="E767" s="56" t="s">
        <v>321</v>
      </c>
      <c r="F767" s="28">
        <f>F768</f>
        <v>97.2</v>
      </c>
      <c r="G767" s="28">
        <f aca="true" t="shared" si="280" ref="G767:H768">G768</f>
        <v>0</v>
      </c>
      <c r="H767" s="28">
        <f t="shared" si="280"/>
        <v>0</v>
      </c>
    </row>
    <row r="768" spans="1:8" ht="31.5">
      <c r="A768" s="55" t="s">
        <v>13</v>
      </c>
      <c r="B768" s="55" t="s">
        <v>57</v>
      </c>
      <c r="C768" s="55">
        <v>1130110660</v>
      </c>
      <c r="D768" s="57" t="s">
        <v>112</v>
      </c>
      <c r="E768" s="56" t="s">
        <v>113</v>
      </c>
      <c r="F768" s="28">
        <f>F769</f>
        <v>97.2</v>
      </c>
      <c r="G768" s="28">
        <f t="shared" si="280"/>
        <v>0</v>
      </c>
      <c r="H768" s="28">
        <f t="shared" si="280"/>
        <v>0</v>
      </c>
    </row>
    <row r="769" spans="1:8" ht="12.75">
      <c r="A769" s="55" t="s">
        <v>13</v>
      </c>
      <c r="B769" s="55" t="s">
        <v>57</v>
      </c>
      <c r="C769" s="55">
        <v>1130110660</v>
      </c>
      <c r="D769" s="55">
        <v>610</v>
      </c>
      <c r="E769" s="56" t="s">
        <v>130</v>
      </c>
      <c r="F769" s="28">
        <v>97.2</v>
      </c>
      <c r="G769" s="28">
        <v>0</v>
      </c>
      <c r="H769" s="28">
        <v>0</v>
      </c>
    </row>
    <row r="770" spans="1:8" ht="78.75">
      <c r="A770" s="55" t="s">
        <v>13</v>
      </c>
      <c r="B770" s="55" t="s">
        <v>57</v>
      </c>
      <c r="C770" s="55" t="s">
        <v>294</v>
      </c>
      <c r="D770" s="55"/>
      <c r="E770" s="56" t="s">
        <v>322</v>
      </c>
      <c r="F770" s="28">
        <f>F771</f>
        <v>10.799999999999999</v>
      </c>
      <c r="G770" s="28">
        <f t="shared" si="278"/>
        <v>0</v>
      </c>
      <c r="H770" s="28">
        <f t="shared" si="278"/>
        <v>0</v>
      </c>
    </row>
    <row r="771" spans="1:8" ht="31.5">
      <c r="A771" s="55" t="s">
        <v>13</v>
      </c>
      <c r="B771" s="55" t="s">
        <v>57</v>
      </c>
      <c r="C771" s="55" t="s">
        <v>294</v>
      </c>
      <c r="D771" s="57" t="s">
        <v>112</v>
      </c>
      <c r="E771" s="56" t="s">
        <v>113</v>
      </c>
      <c r="F771" s="28">
        <f>F772</f>
        <v>10.799999999999999</v>
      </c>
      <c r="G771" s="28">
        <f t="shared" si="278"/>
        <v>0</v>
      </c>
      <c r="H771" s="28">
        <f t="shared" si="278"/>
        <v>0</v>
      </c>
    </row>
    <row r="772" spans="1:8" ht="12.75">
      <c r="A772" s="55" t="s">
        <v>13</v>
      </c>
      <c r="B772" s="55" t="s">
        <v>57</v>
      </c>
      <c r="C772" s="55" t="s">
        <v>294</v>
      </c>
      <c r="D772" s="55">
        <v>610</v>
      </c>
      <c r="E772" s="56" t="s">
        <v>130</v>
      </c>
      <c r="F772" s="28">
        <f>1.1+9.7</f>
        <v>10.799999999999999</v>
      </c>
      <c r="G772" s="28">
        <v>0</v>
      </c>
      <c r="H772" s="28">
        <v>0</v>
      </c>
    </row>
    <row r="773" spans="1:8" ht="31.5">
      <c r="A773" s="55" t="s">
        <v>13</v>
      </c>
      <c r="B773" s="55" t="s">
        <v>57</v>
      </c>
      <c r="C773" s="57">
        <v>1500000000</v>
      </c>
      <c r="D773" s="55"/>
      <c r="E773" s="56" t="s">
        <v>243</v>
      </c>
      <c r="F773" s="28">
        <f>F774</f>
        <v>572.3</v>
      </c>
      <c r="G773" s="28">
        <f aca="true" t="shared" si="281" ref="G773:H773">G774</f>
        <v>0</v>
      </c>
      <c r="H773" s="28">
        <f t="shared" si="281"/>
        <v>0</v>
      </c>
    </row>
    <row r="774" spans="1:8" ht="31.5">
      <c r="A774" s="55" t="s">
        <v>13</v>
      </c>
      <c r="B774" s="55" t="s">
        <v>57</v>
      </c>
      <c r="C774" s="57">
        <v>1520000000</v>
      </c>
      <c r="D774" s="55"/>
      <c r="E774" s="56" t="s">
        <v>235</v>
      </c>
      <c r="F774" s="28">
        <f>F775+F779</f>
        <v>572.3</v>
      </c>
      <c r="G774" s="28">
        <f>G775+G779</f>
        <v>0</v>
      </c>
      <c r="H774" s="28">
        <f>H775+H779</f>
        <v>0</v>
      </c>
    </row>
    <row r="775" spans="1:8" ht="63">
      <c r="A775" s="55" t="s">
        <v>13</v>
      </c>
      <c r="B775" s="55" t="s">
        <v>57</v>
      </c>
      <c r="C775" s="55">
        <v>1520100000</v>
      </c>
      <c r="D775" s="55"/>
      <c r="E775" s="56" t="s">
        <v>311</v>
      </c>
      <c r="F775" s="28">
        <f>F776</f>
        <v>506.5</v>
      </c>
      <c r="G775" s="28">
        <f aca="true" t="shared" si="282" ref="G775:H775">G776</f>
        <v>0</v>
      </c>
      <c r="H775" s="28">
        <f t="shared" si="282"/>
        <v>0</v>
      </c>
    </row>
    <row r="776" spans="1:8" ht="31.5">
      <c r="A776" s="3" t="s">
        <v>13</v>
      </c>
      <c r="B776" s="100" t="s">
        <v>57</v>
      </c>
      <c r="C776" s="11" t="s">
        <v>376</v>
      </c>
      <c r="D776" s="100"/>
      <c r="E776" s="111" t="s">
        <v>382</v>
      </c>
      <c r="F776" s="28">
        <f>F777</f>
        <v>506.5</v>
      </c>
      <c r="G776" s="28">
        <f aca="true" t="shared" si="283" ref="G776:H777">G777</f>
        <v>0</v>
      </c>
      <c r="H776" s="28">
        <f t="shared" si="283"/>
        <v>0</v>
      </c>
    </row>
    <row r="777" spans="1:8" ht="31.5">
      <c r="A777" s="3" t="s">
        <v>13</v>
      </c>
      <c r="B777" s="100" t="s">
        <v>57</v>
      </c>
      <c r="C777" s="11" t="s">
        <v>376</v>
      </c>
      <c r="D777" s="102" t="s">
        <v>112</v>
      </c>
      <c r="E777" s="101" t="s">
        <v>113</v>
      </c>
      <c r="F777" s="28">
        <f>F778</f>
        <v>506.5</v>
      </c>
      <c r="G777" s="28">
        <f t="shared" si="283"/>
        <v>0</v>
      </c>
      <c r="H777" s="28">
        <f t="shared" si="283"/>
        <v>0</v>
      </c>
    </row>
    <row r="778" spans="1:8" ht="12.75">
      <c r="A778" s="3" t="s">
        <v>13</v>
      </c>
      <c r="B778" s="100" t="s">
        <v>57</v>
      </c>
      <c r="C778" s="11" t="s">
        <v>376</v>
      </c>
      <c r="D778" s="100">
        <v>610</v>
      </c>
      <c r="E778" s="101" t="s">
        <v>130</v>
      </c>
      <c r="F778" s="28">
        <f>408.5+98</f>
        <v>506.5</v>
      </c>
      <c r="G778" s="28">
        <v>0</v>
      </c>
      <c r="H778" s="28">
        <v>0</v>
      </c>
    </row>
    <row r="779" spans="1:8" ht="47.25">
      <c r="A779" s="3" t="s">
        <v>13</v>
      </c>
      <c r="B779" s="100" t="s">
        <v>57</v>
      </c>
      <c r="C779" s="11" t="s">
        <v>379</v>
      </c>
      <c r="D779" s="100"/>
      <c r="E779" s="101" t="s">
        <v>380</v>
      </c>
      <c r="F779" s="28">
        <f>F780</f>
        <v>65.8</v>
      </c>
      <c r="G779" s="28">
        <f aca="true" t="shared" si="284" ref="G779:H779">G780</f>
        <v>0</v>
      </c>
      <c r="H779" s="28">
        <f t="shared" si="284"/>
        <v>0</v>
      </c>
    </row>
    <row r="780" spans="1:8" ht="12.75">
      <c r="A780" s="3" t="s">
        <v>13</v>
      </c>
      <c r="B780" s="100" t="s">
        <v>57</v>
      </c>
      <c r="C780" s="11" t="s">
        <v>379</v>
      </c>
      <c r="D780" s="100"/>
      <c r="E780" s="101" t="s">
        <v>378</v>
      </c>
      <c r="F780" s="28">
        <f>F781</f>
        <v>65.8</v>
      </c>
      <c r="G780" s="28">
        <f aca="true" t="shared" si="285" ref="G780:H781">G781</f>
        <v>0</v>
      </c>
      <c r="H780" s="28">
        <f t="shared" si="285"/>
        <v>0</v>
      </c>
    </row>
    <row r="781" spans="1:8" ht="31.5">
      <c r="A781" s="3" t="s">
        <v>13</v>
      </c>
      <c r="B781" s="100" t="s">
        <v>57</v>
      </c>
      <c r="C781" s="11" t="s">
        <v>379</v>
      </c>
      <c r="D781" s="102" t="s">
        <v>112</v>
      </c>
      <c r="E781" s="101" t="s">
        <v>113</v>
      </c>
      <c r="F781" s="28">
        <f>F782</f>
        <v>65.8</v>
      </c>
      <c r="G781" s="28">
        <f t="shared" si="285"/>
        <v>0</v>
      </c>
      <c r="H781" s="28">
        <f t="shared" si="285"/>
        <v>0</v>
      </c>
    </row>
    <row r="782" spans="1:8" ht="12.75">
      <c r="A782" s="3" t="s">
        <v>13</v>
      </c>
      <c r="B782" s="100" t="s">
        <v>57</v>
      </c>
      <c r="C782" s="11" t="s">
        <v>379</v>
      </c>
      <c r="D782" s="100">
        <v>610</v>
      </c>
      <c r="E782" s="101" t="s">
        <v>130</v>
      </c>
      <c r="F782" s="28">
        <v>65.8</v>
      </c>
      <c r="G782" s="28">
        <v>0</v>
      </c>
      <c r="H782" s="28">
        <v>0</v>
      </c>
    </row>
    <row r="783" spans="1:8" ht="12.75">
      <c r="A783" s="3" t="s">
        <v>13</v>
      </c>
      <c r="B783" s="112" t="s">
        <v>57</v>
      </c>
      <c r="C783" s="112">
        <v>9900000000</v>
      </c>
      <c r="D783" s="112"/>
      <c r="E783" s="113" t="s">
        <v>131</v>
      </c>
      <c r="F783" s="28">
        <f>F784</f>
        <v>70.1</v>
      </c>
      <c r="G783" s="28">
        <f aca="true" t="shared" si="286" ref="G783:G786">G784</f>
        <v>0</v>
      </c>
      <c r="H783" s="28">
        <f aca="true" t="shared" si="287" ref="H783:H786">H784</f>
        <v>0</v>
      </c>
    </row>
    <row r="784" spans="1:8" ht="47.25">
      <c r="A784" s="3" t="s">
        <v>13</v>
      </c>
      <c r="B784" s="112" t="s">
        <v>57</v>
      </c>
      <c r="C784" s="112">
        <v>9920000000</v>
      </c>
      <c r="D784" s="112"/>
      <c r="E784" s="113" t="s">
        <v>383</v>
      </c>
      <c r="F784" s="28">
        <f>F785</f>
        <v>70.1</v>
      </c>
      <c r="G784" s="28">
        <f t="shared" si="286"/>
        <v>0</v>
      </c>
      <c r="H784" s="28">
        <f t="shared" si="287"/>
        <v>0</v>
      </c>
    </row>
    <row r="785" spans="1:8" ht="31.5" customHeight="1">
      <c r="A785" s="3" t="s">
        <v>13</v>
      </c>
      <c r="B785" s="112" t="s">
        <v>57</v>
      </c>
      <c r="C785" s="112">
        <v>9920010920</v>
      </c>
      <c r="D785" s="112"/>
      <c r="E785" s="113" t="s">
        <v>384</v>
      </c>
      <c r="F785" s="28">
        <f>F786</f>
        <v>70.1</v>
      </c>
      <c r="G785" s="28">
        <f t="shared" si="286"/>
        <v>0</v>
      </c>
      <c r="H785" s="28">
        <f t="shared" si="287"/>
        <v>0</v>
      </c>
    </row>
    <row r="786" spans="1:8" ht="31.5">
      <c r="A786" s="3" t="s">
        <v>13</v>
      </c>
      <c r="B786" s="112" t="s">
        <v>57</v>
      </c>
      <c r="C786" s="112">
        <v>9920010920</v>
      </c>
      <c r="D786" s="114" t="s">
        <v>112</v>
      </c>
      <c r="E786" s="113" t="s">
        <v>113</v>
      </c>
      <c r="F786" s="28">
        <f>F787</f>
        <v>70.1</v>
      </c>
      <c r="G786" s="28">
        <f t="shared" si="286"/>
        <v>0</v>
      </c>
      <c r="H786" s="28">
        <f t="shared" si="287"/>
        <v>0</v>
      </c>
    </row>
    <row r="787" spans="1:8" ht="12.75">
      <c r="A787" s="3" t="s">
        <v>13</v>
      </c>
      <c r="B787" s="112" t="s">
        <v>57</v>
      </c>
      <c r="C787" s="112">
        <v>9920010920</v>
      </c>
      <c r="D787" s="112">
        <v>610</v>
      </c>
      <c r="E787" s="113" t="s">
        <v>130</v>
      </c>
      <c r="F787" s="28">
        <v>70.1</v>
      </c>
      <c r="G787" s="28">
        <v>0</v>
      </c>
      <c r="H787" s="28">
        <v>0</v>
      </c>
    </row>
    <row r="788" spans="1:8" ht="12.75">
      <c r="A788" s="55" t="s">
        <v>13</v>
      </c>
      <c r="B788" s="55" t="s">
        <v>102</v>
      </c>
      <c r="C788" s="55" t="s">
        <v>72</v>
      </c>
      <c r="D788" s="55" t="s">
        <v>72</v>
      </c>
      <c r="E788" s="56" t="s">
        <v>103</v>
      </c>
      <c r="F788" s="28">
        <f>F789+F807</f>
        <v>10272.8</v>
      </c>
      <c r="G788" s="28">
        <f>G789+G807</f>
        <v>8299.4</v>
      </c>
      <c r="H788" s="28">
        <f>H789+H807</f>
        <v>8299.4</v>
      </c>
    </row>
    <row r="789" spans="1:8" ht="34.5" customHeight="1">
      <c r="A789" s="55" t="s">
        <v>13</v>
      </c>
      <c r="B789" s="55" t="s">
        <v>102</v>
      </c>
      <c r="C789" s="57">
        <v>1100000000</v>
      </c>
      <c r="D789" s="55"/>
      <c r="E789" s="56" t="s">
        <v>247</v>
      </c>
      <c r="F789" s="28">
        <f aca="true" t="shared" si="288" ref="F789:H799">F790</f>
        <v>10247.3</v>
      </c>
      <c r="G789" s="28">
        <f t="shared" si="288"/>
        <v>8299.4</v>
      </c>
      <c r="H789" s="28">
        <f t="shared" si="288"/>
        <v>8299.4</v>
      </c>
    </row>
    <row r="790" spans="1:8" ht="12.75">
      <c r="A790" s="55" t="s">
        <v>13</v>
      </c>
      <c r="B790" s="55" t="s">
        <v>102</v>
      </c>
      <c r="C790" s="55">
        <v>1120000000</v>
      </c>
      <c r="D790" s="55"/>
      <c r="E790" s="56" t="s">
        <v>149</v>
      </c>
      <c r="F790" s="28">
        <f>F791</f>
        <v>10247.3</v>
      </c>
      <c r="G790" s="28">
        <f t="shared" si="288"/>
        <v>8299.4</v>
      </c>
      <c r="H790" s="28">
        <f t="shared" si="288"/>
        <v>8299.4</v>
      </c>
    </row>
    <row r="791" spans="1:8" ht="47.25">
      <c r="A791" s="3" t="s">
        <v>13</v>
      </c>
      <c r="B791" s="55" t="s">
        <v>102</v>
      </c>
      <c r="C791" s="55">
        <v>1120100000</v>
      </c>
      <c r="D791" s="55"/>
      <c r="E791" s="56" t="s">
        <v>150</v>
      </c>
      <c r="F791" s="28">
        <f>F798+F795+F804+F792+F801</f>
        <v>10247.3</v>
      </c>
      <c r="G791" s="28">
        <f aca="true" t="shared" si="289" ref="G791:H791">G798+G795+G804+G792+G801</f>
        <v>8299.4</v>
      </c>
      <c r="H791" s="28">
        <f t="shared" si="289"/>
        <v>8299.4</v>
      </c>
    </row>
    <row r="792" spans="1:8" ht="51.75" customHeight="1">
      <c r="A792" s="84" t="s">
        <v>13</v>
      </c>
      <c r="B792" s="84" t="s">
        <v>102</v>
      </c>
      <c r="C792" s="11" t="s">
        <v>367</v>
      </c>
      <c r="D792" s="13"/>
      <c r="E792" s="9" t="s">
        <v>366</v>
      </c>
      <c r="F792" s="28">
        <f>F793</f>
        <v>52.599999999999994</v>
      </c>
      <c r="G792" s="28">
        <f aca="true" t="shared" si="290" ref="G792:H793">G793</f>
        <v>0</v>
      </c>
      <c r="H792" s="28">
        <f t="shared" si="290"/>
        <v>0</v>
      </c>
    </row>
    <row r="793" spans="1:8" ht="31.5">
      <c r="A793" s="84" t="s">
        <v>13</v>
      </c>
      <c r="B793" s="84" t="s">
        <v>102</v>
      </c>
      <c r="C793" s="11" t="s">
        <v>367</v>
      </c>
      <c r="D793" s="86" t="s">
        <v>112</v>
      </c>
      <c r="E793" s="85" t="s">
        <v>113</v>
      </c>
      <c r="F793" s="28">
        <f>F794</f>
        <v>52.599999999999994</v>
      </c>
      <c r="G793" s="28">
        <f t="shared" si="290"/>
        <v>0</v>
      </c>
      <c r="H793" s="28">
        <f t="shared" si="290"/>
        <v>0</v>
      </c>
    </row>
    <row r="794" spans="1:8" ht="12.75">
      <c r="A794" s="3" t="s">
        <v>13</v>
      </c>
      <c r="B794" s="84" t="s">
        <v>102</v>
      </c>
      <c r="C794" s="11" t="s">
        <v>367</v>
      </c>
      <c r="D794" s="84">
        <v>610</v>
      </c>
      <c r="E794" s="85" t="s">
        <v>130</v>
      </c>
      <c r="F794" s="28">
        <f>48.8+3.8</f>
        <v>52.599999999999994</v>
      </c>
      <c r="G794" s="28">
        <v>0</v>
      </c>
      <c r="H794" s="28">
        <v>0</v>
      </c>
    </row>
    <row r="795" spans="1:8" ht="47.25">
      <c r="A795" s="55" t="s">
        <v>13</v>
      </c>
      <c r="B795" s="55" t="s">
        <v>102</v>
      </c>
      <c r="C795" s="55">
        <v>1120110690</v>
      </c>
      <c r="D795" s="55"/>
      <c r="E795" s="56" t="s">
        <v>317</v>
      </c>
      <c r="F795" s="28">
        <f>F796</f>
        <v>1822</v>
      </c>
      <c r="G795" s="28">
        <f aca="true" t="shared" si="291" ref="G795:H796">G796</f>
        <v>0</v>
      </c>
      <c r="H795" s="28">
        <f t="shared" si="291"/>
        <v>0</v>
      </c>
    </row>
    <row r="796" spans="1:8" ht="31.5">
      <c r="A796" s="55" t="s">
        <v>13</v>
      </c>
      <c r="B796" s="55" t="s">
        <v>102</v>
      </c>
      <c r="C796" s="55">
        <v>1120110690</v>
      </c>
      <c r="D796" s="57" t="s">
        <v>112</v>
      </c>
      <c r="E796" s="56" t="s">
        <v>113</v>
      </c>
      <c r="F796" s="28">
        <f>F797</f>
        <v>1822</v>
      </c>
      <c r="G796" s="28">
        <f t="shared" si="291"/>
        <v>0</v>
      </c>
      <c r="H796" s="28">
        <f t="shared" si="291"/>
        <v>0</v>
      </c>
    </row>
    <row r="797" spans="1:8" ht="12.75">
      <c r="A797" s="3" t="s">
        <v>13</v>
      </c>
      <c r="B797" s="55" t="s">
        <v>102</v>
      </c>
      <c r="C797" s="55">
        <v>1120110690</v>
      </c>
      <c r="D797" s="55">
        <v>610</v>
      </c>
      <c r="E797" s="56" t="s">
        <v>130</v>
      </c>
      <c r="F797" s="28">
        <f>1551.1+270.9</f>
        <v>1822</v>
      </c>
      <c r="G797" s="28">
        <v>0</v>
      </c>
      <c r="H797" s="28">
        <v>0</v>
      </c>
    </row>
    <row r="798" spans="1:8" ht="31.5">
      <c r="A798" s="3" t="s">
        <v>13</v>
      </c>
      <c r="B798" s="55" t="s">
        <v>102</v>
      </c>
      <c r="C798" s="55">
        <v>1120120010</v>
      </c>
      <c r="D798" s="55"/>
      <c r="E798" s="56" t="s">
        <v>151</v>
      </c>
      <c r="F798" s="28">
        <f t="shared" si="288"/>
        <v>8258</v>
      </c>
      <c r="G798" s="28">
        <f t="shared" si="288"/>
        <v>8299.4</v>
      </c>
      <c r="H798" s="28">
        <f t="shared" si="288"/>
        <v>8299.4</v>
      </c>
    </row>
    <row r="799" spans="1:8" ht="31.5">
      <c r="A799" s="3" t="s">
        <v>13</v>
      </c>
      <c r="B799" s="55" t="s">
        <v>102</v>
      </c>
      <c r="C799" s="55">
        <v>1120120010</v>
      </c>
      <c r="D799" s="57" t="s">
        <v>112</v>
      </c>
      <c r="E799" s="56" t="s">
        <v>113</v>
      </c>
      <c r="F799" s="28">
        <f t="shared" si="288"/>
        <v>8258</v>
      </c>
      <c r="G799" s="28">
        <f t="shared" si="288"/>
        <v>8299.4</v>
      </c>
      <c r="H799" s="28">
        <f t="shared" si="288"/>
        <v>8299.4</v>
      </c>
    </row>
    <row r="800" spans="1:8" ht="12.75">
      <c r="A800" s="55" t="s">
        <v>13</v>
      </c>
      <c r="B800" s="55" t="s">
        <v>102</v>
      </c>
      <c r="C800" s="55">
        <v>1120120010</v>
      </c>
      <c r="D800" s="55">
        <v>610</v>
      </c>
      <c r="E800" s="56" t="s">
        <v>130</v>
      </c>
      <c r="F800" s="28">
        <f>9721.4-1422-93.1+73.3-4.9-0.4-16.3</f>
        <v>8258</v>
      </c>
      <c r="G800" s="28">
        <f>9721.4-1422</f>
        <v>8299.4</v>
      </c>
      <c r="H800" s="28">
        <f>9721.4-1422</f>
        <v>8299.4</v>
      </c>
    </row>
    <row r="801" spans="1:8" ht="52.5" customHeight="1">
      <c r="A801" s="3" t="s">
        <v>13</v>
      </c>
      <c r="B801" s="87" t="s">
        <v>102</v>
      </c>
      <c r="C801" s="11" t="s">
        <v>369</v>
      </c>
      <c r="D801" s="13"/>
      <c r="E801" s="9" t="s">
        <v>371</v>
      </c>
      <c r="F801" s="28">
        <f>F802</f>
        <v>5.300000000000001</v>
      </c>
      <c r="G801" s="28">
        <f aca="true" t="shared" si="292" ref="G801:H802">G802</f>
        <v>0</v>
      </c>
      <c r="H801" s="28">
        <f t="shared" si="292"/>
        <v>0</v>
      </c>
    </row>
    <row r="802" spans="1:8" ht="31.5">
      <c r="A802" s="3" t="s">
        <v>13</v>
      </c>
      <c r="B802" s="87" t="s">
        <v>102</v>
      </c>
      <c r="C802" s="11" t="s">
        <v>369</v>
      </c>
      <c r="D802" s="89" t="s">
        <v>112</v>
      </c>
      <c r="E802" s="88" t="s">
        <v>113</v>
      </c>
      <c r="F802" s="28">
        <f>F803</f>
        <v>5.300000000000001</v>
      </c>
      <c r="G802" s="28">
        <f t="shared" si="292"/>
        <v>0</v>
      </c>
      <c r="H802" s="28">
        <f t="shared" si="292"/>
        <v>0</v>
      </c>
    </row>
    <row r="803" spans="1:8" ht="12.75">
      <c r="A803" s="87" t="s">
        <v>13</v>
      </c>
      <c r="B803" s="87" t="s">
        <v>102</v>
      </c>
      <c r="C803" s="11" t="s">
        <v>369</v>
      </c>
      <c r="D803" s="87">
        <v>610</v>
      </c>
      <c r="E803" s="88" t="s">
        <v>130</v>
      </c>
      <c r="F803" s="28">
        <f>4.9+0.4</f>
        <v>5.300000000000001</v>
      </c>
      <c r="G803" s="28">
        <v>0</v>
      </c>
      <c r="H803" s="28">
        <v>0</v>
      </c>
    </row>
    <row r="804" spans="1:8" ht="47.25">
      <c r="A804" s="55" t="s">
        <v>13</v>
      </c>
      <c r="B804" s="55" t="s">
        <v>102</v>
      </c>
      <c r="C804" s="55" t="s">
        <v>316</v>
      </c>
      <c r="D804" s="55"/>
      <c r="E804" s="56" t="s">
        <v>318</v>
      </c>
      <c r="F804" s="28">
        <f>F805</f>
        <v>109.39999999999999</v>
      </c>
      <c r="G804" s="28">
        <f aca="true" t="shared" si="293" ref="G804:H805">G805</f>
        <v>0</v>
      </c>
      <c r="H804" s="28">
        <f t="shared" si="293"/>
        <v>0</v>
      </c>
    </row>
    <row r="805" spans="1:8" ht="31.5">
      <c r="A805" s="55" t="s">
        <v>13</v>
      </c>
      <c r="B805" s="55" t="s">
        <v>102</v>
      </c>
      <c r="C805" s="55" t="s">
        <v>316</v>
      </c>
      <c r="D805" s="57" t="s">
        <v>112</v>
      </c>
      <c r="E805" s="56" t="s">
        <v>113</v>
      </c>
      <c r="F805" s="28">
        <f>F806</f>
        <v>109.39999999999999</v>
      </c>
      <c r="G805" s="28">
        <f t="shared" si="293"/>
        <v>0</v>
      </c>
      <c r="H805" s="28">
        <f t="shared" si="293"/>
        <v>0</v>
      </c>
    </row>
    <row r="806" spans="1:8" ht="12.75">
      <c r="A806" s="3" t="s">
        <v>13</v>
      </c>
      <c r="B806" s="55" t="s">
        <v>102</v>
      </c>
      <c r="C806" s="55" t="s">
        <v>316</v>
      </c>
      <c r="D806" s="55">
        <v>610</v>
      </c>
      <c r="E806" s="56" t="s">
        <v>130</v>
      </c>
      <c r="F806" s="28">
        <f>93.1+16.3</f>
        <v>109.39999999999999</v>
      </c>
      <c r="G806" s="28">
        <v>0</v>
      </c>
      <c r="H806" s="28">
        <v>0</v>
      </c>
    </row>
    <row r="807" spans="1:8" ht="31.5">
      <c r="A807" s="100" t="s">
        <v>13</v>
      </c>
      <c r="B807" s="100" t="s">
        <v>102</v>
      </c>
      <c r="C807" s="102">
        <v>1500000000</v>
      </c>
      <c r="D807" s="100"/>
      <c r="E807" s="101" t="s">
        <v>243</v>
      </c>
      <c r="F807" s="28">
        <f>F808</f>
        <v>25.5</v>
      </c>
      <c r="G807" s="28">
        <f aca="true" t="shared" si="294" ref="G807:H811">G808</f>
        <v>0</v>
      </c>
      <c r="H807" s="28">
        <f t="shared" si="294"/>
        <v>0</v>
      </c>
    </row>
    <row r="808" spans="1:8" ht="31.5">
      <c r="A808" s="100" t="s">
        <v>13</v>
      </c>
      <c r="B808" s="100" t="s">
        <v>102</v>
      </c>
      <c r="C808" s="102">
        <v>1520000000</v>
      </c>
      <c r="D808" s="100"/>
      <c r="E808" s="101" t="s">
        <v>235</v>
      </c>
      <c r="F808" s="28">
        <f>F809</f>
        <v>25.5</v>
      </c>
      <c r="G808" s="28">
        <f t="shared" si="294"/>
        <v>0</v>
      </c>
      <c r="H808" s="28">
        <f t="shared" si="294"/>
        <v>0</v>
      </c>
    </row>
    <row r="809" spans="1:8" ht="63">
      <c r="A809" s="100" t="s">
        <v>13</v>
      </c>
      <c r="B809" s="100" t="s">
        <v>102</v>
      </c>
      <c r="C809" s="100">
        <v>1520100000</v>
      </c>
      <c r="D809" s="100"/>
      <c r="E809" s="101" t="s">
        <v>311</v>
      </c>
      <c r="F809" s="28">
        <f>F810</f>
        <v>25.5</v>
      </c>
      <c r="G809" s="28">
        <f t="shared" si="294"/>
        <v>0</v>
      </c>
      <c r="H809" s="28">
        <f t="shared" si="294"/>
        <v>0</v>
      </c>
    </row>
    <row r="810" spans="1:8" ht="31.5">
      <c r="A810" s="3" t="s">
        <v>13</v>
      </c>
      <c r="B810" s="100" t="s">
        <v>102</v>
      </c>
      <c r="C810" s="11" t="s">
        <v>376</v>
      </c>
      <c r="D810" s="100"/>
      <c r="E810" s="111" t="s">
        <v>382</v>
      </c>
      <c r="F810" s="28">
        <f>F811</f>
        <v>25.5</v>
      </c>
      <c r="G810" s="28">
        <f t="shared" si="294"/>
        <v>0</v>
      </c>
      <c r="H810" s="28">
        <f t="shared" si="294"/>
        <v>0</v>
      </c>
    </row>
    <row r="811" spans="1:8" ht="31.5">
      <c r="A811" s="3" t="s">
        <v>13</v>
      </c>
      <c r="B811" s="100" t="s">
        <v>102</v>
      </c>
      <c r="C811" s="11" t="s">
        <v>376</v>
      </c>
      <c r="D811" s="102" t="s">
        <v>112</v>
      </c>
      <c r="E811" s="101" t="s">
        <v>113</v>
      </c>
      <c r="F811" s="28">
        <f>F812</f>
        <v>25.5</v>
      </c>
      <c r="G811" s="28">
        <f t="shared" si="294"/>
        <v>0</v>
      </c>
      <c r="H811" s="28">
        <f t="shared" si="294"/>
        <v>0</v>
      </c>
    </row>
    <row r="812" spans="1:8" ht="12.75">
      <c r="A812" s="3" t="s">
        <v>13</v>
      </c>
      <c r="B812" s="100" t="s">
        <v>102</v>
      </c>
      <c r="C812" s="11" t="s">
        <v>376</v>
      </c>
      <c r="D812" s="100">
        <v>610</v>
      </c>
      <c r="E812" s="101" t="s">
        <v>130</v>
      </c>
      <c r="F812" s="28">
        <v>25.5</v>
      </c>
      <c r="G812" s="28">
        <v>0</v>
      </c>
      <c r="H812" s="28">
        <v>0</v>
      </c>
    </row>
    <row r="813" spans="1:8" ht="29.25" customHeight="1">
      <c r="A813" s="55" t="s">
        <v>13</v>
      </c>
      <c r="B813" s="29" t="s">
        <v>276</v>
      </c>
      <c r="C813" s="55"/>
      <c r="D813" s="55"/>
      <c r="E813" s="106" t="s">
        <v>470</v>
      </c>
      <c r="F813" s="28">
        <f aca="true" t="shared" si="295" ref="F813:H818">F814</f>
        <v>82</v>
      </c>
      <c r="G813" s="28">
        <f t="shared" si="295"/>
        <v>82</v>
      </c>
      <c r="H813" s="28">
        <f t="shared" si="295"/>
        <v>82</v>
      </c>
    </row>
    <row r="814" spans="1:8" ht="47.25">
      <c r="A814" s="55" t="s">
        <v>13</v>
      </c>
      <c r="B814" s="29" t="s">
        <v>276</v>
      </c>
      <c r="C814" s="57">
        <v>1600000000</v>
      </c>
      <c r="D814" s="57"/>
      <c r="E814" s="56" t="s">
        <v>140</v>
      </c>
      <c r="F814" s="28">
        <f t="shared" si="295"/>
        <v>82</v>
      </c>
      <c r="G814" s="28">
        <f t="shared" si="295"/>
        <v>82</v>
      </c>
      <c r="H814" s="28">
        <f t="shared" si="295"/>
        <v>82</v>
      </c>
    </row>
    <row r="815" spans="1:8" ht="47.25">
      <c r="A815" s="55" t="s">
        <v>13</v>
      </c>
      <c r="B815" s="29" t="s">
        <v>276</v>
      </c>
      <c r="C815" s="57">
        <v>1640000000</v>
      </c>
      <c r="D815" s="1"/>
      <c r="E815" s="22" t="s">
        <v>279</v>
      </c>
      <c r="F815" s="28">
        <f t="shared" si="295"/>
        <v>82</v>
      </c>
      <c r="G815" s="28">
        <f t="shared" si="295"/>
        <v>82</v>
      </c>
      <c r="H815" s="28">
        <f t="shared" si="295"/>
        <v>82</v>
      </c>
    </row>
    <row r="816" spans="1:8" ht="31.5">
      <c r="A816" s="55" t="s">
        <v>13</v>
      </c>
      <c r="B816" s="29" t="s">
        <v>276</v>
      </c>
      <c r="C816" s="57">
        <v>1640100000</v>
      </c>
      <c r="D816" s="55"/>
      <c r="E816" s="56" t="s">
        <v>281</v>
      </c>
      <c r="F816" s="28">
        <f t="shared" si="295"/>
        <v>82</v>
      </c>
      <c r="G816" s="28">
        <f t="shared" si="295"/>
        <v>82</v>
      </c>
      <c r="H816" s="28">
        <f t="shared" si="295"/>
        <v>82</v>
      </c>
    </row>
    <row r="817" spans="1:8" ht="12.75">
      <c r="A817" s="55" t="s">
        <v>13</v>
      </c>
      <c r="B817" s="29" t="s">
        <v>276</v>
      </c>
      <c r="C817" s="57">
        <v>1640120510</v>
      </c>
      <c r="D817" s="55"/>
      <c r="E817" s="56" t="s">
        <v>283</v>
      </c>
      <c r="F817" s="28">
        <f t="shared" si="295"/>
        <v>82</v>
      </c>
      <c r="G817" s="28">
        <f t="shared" si="295"/>
        <v>82</v>
      </c>
      <c r="H817" s="28">
        <f t="shared" si="295"/>
        <v>82</v>
      </c>
    </row>
    <row r="818" spans="1:8" ht="31.5">
      <c r="A818" s="3" t="s">
        <v>13</v>
      </c>
      <c r="B818" s="29" t="s">
        <v>276</v>
      </c>
      <c r="C818" s="57">
        <v>1640120510</v>
      </c>
      <c r="D818" s="57" t="s">
        <v>75</v>
      </c>
      <c r="E818" s="56" t="s">
        <v>110</v>
      </c>
      <c r="F818" s="28">
        <f t="shared" si="295"/>
        <v>82</v>
      </c>
      <c r="G818" s="28">
        <f t="shared" si="295"/>
        <v>82</v>
      </c>
      <c r="H818" s="28">
        <f t="shared" si="295"/>
        <v>82</v>
      </c>
    </row>
    <row r="819" spans="1:8" ht="31.15" customHeight="1">
      <c r="A819" s="3" t="s">
        <v>13</v>
      </c>
      <c r="B819" s="29" t="s">
        <v>276</v>
      </c>
      <c r="C819" s="57">
        <v>1640120510</v>
      </c>
      <c r="D819" s="55">
        <v>240</v>
      </c>
      <c r="E819" s="199" t="s">
        <v>469</v>
      </c>
      <c r="F819" s="28">
        <v>82</v>
      </c>
      <c r="G819" s="28">
        <v>82</v>
      </c>
      <c r="H819" s="28">
        <v>82</v>
      </c>
    </row>
    <row r="820" spans="1:8" ht="12.75">
      <c r="A820" s="55" t="s">
        <v>13</v>
      </c>
      <c r="B820" s="55" t="s">
        <v>43</v>
      </c>
      <c r="C820" s="55" t="s">
        <v>72</v>
      </c>
      <c r="D820" s="55" t="s">
        <v>72</v>
      </c>
      <c r="E820" s="56" t="s">
        <v>118</v>
      </c>
      <c r="F820" s="28">
        <f aca="true" t="shared" si="296" ref="F820:H830">F821</f>
        <v>3131.7999999999997</v>
      </c>
      <c r="G820" s="28">
        <f t="shared" si="296"/>
        <v>168.7</v>
      </c>
      <c r="H820" s="28">
        <f t="shared" si="296"/>
        <v>168.7</v>
      </c>
    </row>
    <row r="821" spans="1:8" ht="34.9" customHeight="1">
      <c r="A821" s="55" t="s">
        <v>13</v>
      </c>
      <c r="B821" s="55" t="s">
        <v>43</v>
      </c>
      <c r="C821" s="57">
        <v>1100000000</v>
      </c>
      <c r="D821" s="55"/>
      <c r="E821" s="56" t="s">
        <v>247</v>
      </c>
      <c r="F821" s="28">
        <f t="shared" si="296"/>
        <v>3131.7999999999997</v>
      </c>
      <c r="G821" s="28">
        <f t="shared" si="296"/>
        <v>168.7</v>
      </c>
      <c r="H821" s="28">
        <f t="shared" si="296"/>
        <v>168.7</v>
      </c>
    </row>
    <row r="822" spans="1:8" ht="12.75">
      <c r="A822" s="55" t="s">
        <v>13</v>
      </c>
      <c r="B822" s="55" t="s">
        <v>43</v>
      </c>
      <c r="C822" s="55">
        <v>1110000000</v>
      </c>
      <c r="D822" s="55"/>
      <c r="E822" s="56" t="s">
        <v>225</v>
      </c>
      <c r="F822" s="28">
        <f t="shared" si="296"/>
        <v>3131.7999999999997</v>
      </c>
      <c r="G822" s="28">
        <f t="shared" si="296"/>
        <v>168.7</v>
      </c>
      <c r="H822" s="28">
        <f t="shared" si="296"/>
        <v>168.7</v>
      </c>
    </row>
    <row r="823" spans="1:8" ht="12.75">
      <c r="A823" s="55" t="s">
        <v>13</v>
      </c>
      <c r="B823" s="55" t="s">
        <v>43</v>
      </c>
      <c r="C823" s="55">
        <v>1110400000</v>
      </c>
      <c r="D823" s="55"/>
      <c r="E823" s="56" t="s">
        <v>236</v>
      </c>
      <c r="F823" s="28">
        <f>F829+F824</f>
        <v>3131.7999999999997</v>
      </c>
      <c r="G823" s="28">
        <f aca="true" t="shared" si="297" ref="G823:H823">G829+G824</f>
        <v>168.7</v>
      </c>
      <c r="H823" s="28">
        <f t="shared" si="297"/>
        <v>168.7</v>
      </c>
    </row>
    <row r="824" spans="1:8" ht="31.5">
      <c r="A824" s="55" t="s">
        <v>13</v>
      </c>
      <c r="B824" s="55" t="s">
        <v>43</v>
      </c>
      <c r="C824" s="55">
        <v>1110410240</v>
      </c>
      <c r="D824" s="55"/>
      <c r="E824" s="56" t="s">
        <v>312</v>
      </c>
      <c r="F824" s="28">
        <f>F825+F827</f>
        <v>2973.1</v>
      </c>
      <c r="G824" s="28">
        <f aca="true" t="shared" si="298" ref="G824:H824">G825+G827</f>
        <v>0</v>
      </c>
      <c r="H824" s="28">
        <f t="shared" si="298"/>
        <v>0</v>
      </c>
    </row>
    <row r="825" spans="1:8" ht="12.75">
      <c r="A825" s="55" t="s">
        <v>13</v>
      </c>
      <c r="B825" s="55" t="s">
        <v>43</v>
      </c>
      <c r="C825" s="55">
        <v>1110410240</v>
      </c>
      <c r="D825" s="1" t="s">
        <v>79</v>
      </c>
      <c r="E825" s="37" t="s">
        <v>80</v>
      </c>
      <c r="F825" s="28">
        <f>F826</f>
        <v>49.30000000000001</v>
      </c>
      <c r="G825" s="28">
        <f aca="true" t="shared" si="299" ref="G825:H825">G826</f>
        <v>0</v>
      </c>
      <c r="H825" s="28">
        <f t="shared" si="299"/>
        <v>0</v>
      </c>
    </row>
    <row r="826" spans="1:8" ht="31.5">
      <c r="A826" s="55" t="s">
        <v>13</v>
      </c>
      <c r="B826" s="55" t="s">
        <v>43</v>
      </c>
      <c r="C826" s="55">
        <v>1110410240</v>
      </c>
      <c r="D826" s="55">
        <v>320</v>
      </c>
      <c r="E826" s="56" t="s">
        <v>128</v>
      </c>
      <c r="F826" s="28">
        <f>214.9-165.6</f>
        <v>49.30000000000001</v>
      </c>
      <c r="G826" s="28">
        <v>0</v>
      </c>
      <c r="H826" s="28">
        <v>0</v>
      </c>
    </row>
    <row r="827" spans="1:8" ht="31.5">
      <c r="A827" s="55" t="s">
        <v>13</v>
      </c>
      <c r="B827" s="55" t="s">
        <v>43</v>
      </c>
      <c r="C827" s="55">
        <v>1110410240</v>
      </c>
      <c r="D827" s="57" t="s">
        <v>112</v>
      </c>
      <c r="E827" s="56" t="s">
        <v>113</v>
      </c>
      <c r="F827" s="28">
        <f>F828</f>
        <v>2923.7999999999997</v>
      </c>
      <c r="G827" s="28">
        <f aca="true" t="shared" si="300" ref="G827:H827">G828</f>
        <v>0</v>
      </c>
      <c r="H827" s="28">
        <f t="shared" si="300"/>
        <v>0</v>
      </c>
    </row>
    <row r="828" spans="1:8" ht="12.75">
      <c r="A828" s="55" t="s">
        <v>13</v>
      </c>
      <c r="B828" s="55" t="s">
        <v>43</v>
      </c>
      <c r="C828" s="55">
        <v>1110410240</v>
      </c>
      <c r="D828" s="55">
        <v>610</v>
      </c>
      <c r="E828" s="56" t="s">
        <v>130</v>
      </c>
      <c r="F828" s="28">
        <f>2758.2+165.6</f>
        <v>2923.7999999999997</v>
      </c>
      <c r="G828" s="28">
        <v>0</v>
      </c>
      <c r="H828" s="28">
        <v>0</v>
      </c>
    </row>
    <row r="829" spans="1:8" ht="31.5">
      <c r="A829" s="55" t="s">
        <v>13</v>
      </c>
      <c r="B829" s="55" t="s">
        <v>43</v>
      </c>
      <c r="C829" s="55" t="s">
        <v>238</v>
      </c>
      <c r="D829" s="55"/>
      <c r="E829" s="56" t="s">
        <v>237</v>
      </c>
      <c r="F829" s="28">
        <f t="shared" si="296"/>
        <v>158.7</v>
      </c>
      <c r="G829" s="28">
        <f t="shared" si="296"/>
        <v>168.7</v>
      </c>
      <c r="H829" s="28">
        <f t="shared" si="296"/>
        <v>168.7</v>
      </c>
    </row>
    <row r="830" spans="1:8" ht="12.75">
      <c r="A830" s="55" t="s">
        <v>13</v>
      </c>
      <c r="B830" s="55" t="s">
        <v>43</v>
      </c>
      <c r="C830" s="55" t="s">
        <v>238</v>
      </c>
      <c r="D830" s="1" t="s">
        <v>79</v>
      </c>
      <c r="E830" s="37" t="s">
        <v>80</v>
      </c>
      <c r="F830" s="28">
        <f t="shared" si="296"/>
        <v>158.7</v>
      </c>
      <c r="G830" s="28">
        <f t="shared" si="296"/>
        <v>168.7</v>
      </c>
      <c r="H830" s="28">
        <f t="shared" si="296"/>
        <v>168.7</v>
      </c>
    </row>
    <row r="831" spans="1:8" ht="31.5">
      <c r="A831" s="55" t="s">
        <v>13</v>
      </c>
      <c r="B831" s="55" t="s">
        <v>43</v>
      </c>
      <c r="C831" s="55" t="s">
        <v>238</v>
      </c>
      <c r="D831" s="55">
        <v>320</v>
      </c>
      <c r="E831" s="56" t="s">
        <v>128</v>
      </c>
      <c r="F831" s="28">
        <f>168.7-10</f>
        <v>158.7</v>
      </c>
      <c r="G831" s="28">
        <v>168.7</v>
      </c>
      <c r="H831" s="28">
        <v>168.7</v>
      </c>
    </row>
    <row r="832" spans="1:8" ht="12.75">
      <c r="A832" s="55" t="s">
        <v>13</v>
      </c>
      <c r="B832" s="55" t="s">
        <v>58</v>
      </c>
      <c r="C832" s="55" t="s">
        <v>72</v>
      </c>
      <c r="D832" s="55" t="s">
        <v>72</v>
      </c>
      <c r="E832" s="56" t="s">
        <v>16</v>
      </c>
      <c r="F832" s="28">
        <f>F833+F845</f>
        <v>7350.9</v>
      </c>
      <c r="G832" s="28">
        <f>G833+G845</f>
        <v>5926.7</v>
      </c>
      <c r="H832" s="28">
        <f>H833+H845</f>
        <v>5926.7</v>
      </c>
    </row>
    <row r="833" spans="1:8" ht="32.45" customHeight="1">
      <c r="A833" s="55" t="s">
        <v>13</v>
      </c>
      <c r="B833" s="55" t="s">
        <v>58</v>
      </c>
      <c r="C833" s="57">
        <v>1100000000</v>
      </c>
      <c r="D833" s="55"/>
      <c r="E833" s="56" t="s">
        <v>247</v>
      </c>
      <c r="F833" s="28">
        <f>F834</f>
        <v>396.79999999999995</v>
      </c>
      <c r="G833" s="28">
        <f aca="true" t="shared" si="301" ref="G833:H843">G834</f>
        <v>396.79999999999995</v>
      </c>
      <c r="H833" s="28">
        <f t="shared" si="301"/>
        <v>396.79999999999995</v>
      </c>
    </row>
    <row r="834" spans="1:8" ht="31.5">
      <c r="A834" s="55" t="s">
        <v>13</v>
      </c>
      <c r="B834" s="55" t="s">
        <v>58</v>
      </c>
      <c r="C834" s="57">
        <v>1130000000</v>
      </c>
      <c r="D834" s="31"/>
      <c r="E834" s="56" t="s">
        <v>142</v>
      </c>
      <c r="F834" s="28">
        <f>F841+F835</f>
        <v>396.79999999999995</v>
      </c>
      <c r="G834" s="28">
        <f aca="true" t="shared" si="302" ref="G834:H834">G841+G835</f>
        <v>396.79999999999995</v>
      </c>
      <c r="H834" s="28">
        <f t="shared" si="302"/>
        <v>396.79999999999995</v>
      </c>
    </row>
    <row r="835" spans="1:8" ht="31.5">
      <c r="A835" s="55" t="s">
        <v>13</v>
      </c>
      <c r="B835" s="55" t="s">
        <v>58</v>
      </c>
      <c r="C835" s="55">
        <v>1130100000</v>
      </c>
      <c r="D835" s="31"/>
      <c r="E835" s="56" t="s">
        <v>293</v>
      </c>
      <c r="F835" s="28">
        <f>F836</f>
        <v>259.9</v>
      </c>
      <c r="G835" s="28">
        <f aca="true" t="shared" si="303" ref="G835:H837">G836</f>
        <v>259.9</v>
      </c>
      <c r="H835" s="28">
        <f t="shared" si="303"/>
        <v>259.9</v>
      </c>
    </row>
    <row r="836" spans="1:8" ht="31.5">
      <c r="A836" s="55" t="s">
        <v>13</v>
      </c>
      <c r="B836" s="55" t="s">
        <v>58</v>
      </c>
      <c r="C836" s="57">
        <v>1130120260</v>
      </c>
      <c r="D836" s="31"/>
      <c r="E836" s="56" t="s">
        <v>295</v>
      </c>
      <c r="F836" s="28">
        <f>F837+F839</f>
        <v>259.9</v>
      </c>
      <c r="G836" s="28">
        <f aca="true" t="shared" si="304" ref="G836:H836">G837+G839</f>
        <v>259.9</v>
      </c>
      <c r="H836" s="28">
        <f t="shared" si="304"/>
        <v>259.9</v>
      </c>
    </row>
    <row r="837" spans="1:8" ht="31.5">
      <c r="A837" s="55" t="s">
        <v>13</v>
      </c>
      <c r="B837" s="55" t="s">
        <v>58</v>
      </c>
      <c r="C837" s="57">
        <v>1130120260</v>
      </c>
      <c r="D837" s="55" t="s">
        <v>75</v>
      </c>
      <c r="E837" s="56" t="s">
        <v>110</v>
      </c>
      <c r="F837" s="28">
        <f>F838</f>
        <v>169.59999999999997</v>
      </c>
      <c r="G837" s="28">
        <f t="shared" si="303"/>
        <v>169.59999999999997</v>
      </c>
      <c r="H837" s="28">
        <f t="shared" si="303"/>
        <v>169.59999999999997</v>
      </c>
    </row>
    <row r="838" spans="1:8" ht="29.45" customHeight="1">
      <c r="A838" s="55" t="s">
        <v>13</v>
      </c>
      <c r="B838" s="55" t="s">
        <v>58</v>
      </c>
      <c r="C838" s="57">
        <v>1130120260</v>
      </c>
      <c r="D838" s="55">
        <v>240</v>
      </c>
      <c r="E838" s="199" t="s">
        <v>469</v>
      </c>
      <c r="F838" s="28">
        <f>259.9-90.3</f>
        <v>169.59999999999997</v>
      </c>
      <c r="G838" s="28">
        <f>259.9-90.3</f>
        <v>169.59999999999997</v>
      </c>
      <c r="H838" s="28">
        <f>259.9-90.3</f>
        <v>169.59999999999997</v>
      </c>
    </row>
    <row r="839" spans="1:8" ht="18.75" customHeight="1">
      <c r="A839" s="55" t="s">
        <v>13</v>
      </c>
      <c r="B839" s="55" t="s">
        <v>58</v>
      </c>
      <c r="C839" s="57">
        <v>1130120260</v>
      </c>
      <c r="D839" s="1" t="s">
        <v>79</v>
      </c>
      <c r="E839" s="37" t="s">
        <v>80</v>
      </c>
      <c r="F839" s="28">
        <f>F840</f>
        <v>90.3</v>
      </c>
      <c r="G839" s="28">
        <f aca="true" t="shared" si="305" ref="G839:H839">G840</f>
        <v>90.3</v>
      </c>
      <c r="H839" s="28">
        <f t="shared" si="305"/>
        <v>90.3</v>
      </c>
    </row>
    <row r="840" spans="1:8" ht="18.75" customHeight="1">
      <c r="A840" s="55" t="s">
        <v>13</v>
      </c>
      <c r="B840" s="55" t="s">
        <v>58</v>
      </c>
      <c r="C840" s="57">
        <v>1130120260</v>
      </c>
      <c r="D840" s="55">
        <v>350</v>
      </c>
      <c r="E840" s="56" t="s">
        <v>204</v>
      </c>
      <c r="F840" s="28">
        <v>90.3</v>
      </c>
      <c r="G840" s="28">
        <v>90.3</v>
      </c>
      <c r="H840" s="28">
        <v>90.3</v>
      </c>
    </row>
    <row r="841" spans="1:8" ht="31.5">
      <c r="A841" s="55" t="s">
        <v>13</v>
      </c>
      <c r="B841" s="55" t="s">
        <v>58</v>
      </c>
      <c r="C841" s="55">
        <v>1130200000</v>
      </c>
      <c r="D841" s="55"/>
      <c r="E841" s="56" t="s">
        <v>239</v>
      </c>
      <c r="F841" s="28">
        <f>F842</f>
        <v>136.9</v>
      </c>
      <c r="G841" s="28">
        <f t="shared" si="301"/>
        <v>136.9</v>
      </c>
      <c r="H841" s="28">
        <f t="shared" si="301"/>
        <v>136.9</v>
      </c>
    </row>
    <row r="842" spans="1:8" ht="31.5">
      <c r="A842" s="55" t="s">
        <v>13</v>
      </c>
      <c r="B842" s="55" t="s">
        <v>58</v>
      </c>
      <c r="C842" s="55">
        <v>1130220270</v>
      </c>
      <c r="D842" s="55"/>
      <c r="E842" s="56" t="s">
        <v>240</v>
      </c>
      <c r="F842" s="28">
        <f>F843</f>
        <v>136.9</v>
      </c>
      <c r="G842" s="28">
        <f t="shared" si="301"/>
        <v>136.9</v>
      </c>
      <c r="H842" s="28">
        <f t="shared" si="301"/>
        <v>136.9</v>
      </c>
    </row>
    <row r="843" spans="1:8" ht="31.5">
      <c r="A843" s="55" t="s">
        <v>13</v>
      </c>
      <c r="B843" s="55" t="s">
        <v>58</v>
      </c>
      <c r="C843" s="55">
        <v>1130220270</v>
      </c>
      <c r="D843" s="55" t="s">
        <v>75</v>
      </c>
      <c r="E843" s="56" t="s">
        <v>110</v>
      </c>
      <c r="F843" s="28">
        <f>F844</f>
        <v>136.9</v>
      </c>
      <c r="G843" s="28">
        <f t="shared" si="301"/>
        <v>136.9</v>
      </c>
      <c r="H843" s="28">
        <f t="shared" si="301"/>
        <v>136.9</v>
      </c>
    </row>
    <row r="844" spans="1:8" ht="33.6" customHeight="1">
      <c r="A844" s="55" t="s">
        <v>13</v>
      </c>
      <c r="B844" s="55" t="s">
        <v>58</v>
      </c>
      <c r="C844" s="55">
        <v>1130220270</v>
      </c>
      <c r="D844" s="55">
        <v>240</v>
      </c>
      <c r="E844" s="199" t="s">
        <v>469</v>
      </c>
      <c r="F844" s="28">
        <v>136.9</v>
      </c>
      <c r="G844" s="28">
        <v>136.9</v>
      </c>
      <c r="H844" s="28">
        <v>136.9</v>
      </c>
    </row>
    <row r="845" spans="1:8" ht="12.75">
      <c r="A845" s="55" t="s">
        <v>13</v>
      </c>
      <c r="B845" s="55" t="s">
        <v>58</v>
      </c>
      <c r="C845" s="55">
        <v>9900000000</v>
      </c>
      <c r="D845" s="55"/>
      <c r="E845" s="56" t="s">
        <v>131</v>
      </c>
      <c r="F845" s="28">
        <f>F846</f>
        <v>6954.099999999999</v>
      </c>
      <c r="G845" s="28">
        <f aca="true" t="shared" si="306" ref="G845:H845">G846</f>
        <v>5529.9</v>
      </c>
      <c r="H845" s="28">
        <f t="shared" si="306"/>
        <v>5529.9</v>
      </c>
    </row>
    <row r="846" spans="1:8" ht="31.5">
      <c r="A846" s="55" t="s">
        <v>13</v>
      </c>
      <c r="B846" s="55" t="s">
        <v>58</v>
      </c>
      <c r="C846" s="55">
        <v>9990000000</v>
      </c>
      <c r="D846" s="55"/>
      <c r="E846" s="56" t="s">
        <v>199</v>
      </c>
      <c r="F846" s="28">
        <f>F847+F851</f>
        <v>6954.099999999999</v>
      </c>
      <c r="G846" s="28">
        <f>G847+G851</f>
        <v>5529.9</v>
      </c>
      <c r="H846" s="28">
        <f>H847+H851</f>
        <v>5529.9</v>
      </c>
    </row>
    <row r="847" spans="1:8" ht="31.5">
      <c r="A847" s="55" t="s">
        <v>13</v>
      </c>
      <c r="B847" s="55" t="s">
        <v>58</v>
      </c>
      <c r="C847" s="55">
        <v>9990200000</v>
      </c>
      <c r="D847" s="31"/>
      <c r="E847" s="56" t="s">
        <v>145</v>
      </c>
      <c r="F847" s="28">
        <f>F848</f>
        <v>4664.099999999999</v>
      </c>
      <c r="G847" s="28">
        <f aca="true" t="shared" si="307" ref="G847:H847">G848</f>
        <v>5529.9</v>
      </c>
      <c r="H847" s="28">
        <f t="shared" si="307"/>
        <v>5529.9</v>
      </c>
    </row>
    <row r="848" spans="1:8" ht="47.25">
      <c r="A848" s="55" t="s">
        <v>13</v>
      </c>
      <c r="B848" s="55" t="s">
        <v>58</v>
      </c>
      <c r="C848" s="55">
        <v>9990225000</v>
      </c>
      <c r="D848" s="55"/>
      <c r="E848" s="56" t="s">
        <v>146</v>
      </c>
      <c r="F848" s="28">
        <f>F849</f>
        <v>4664.099999999999</v>
      </c>
      <c r="G848" s="28">
        <f aca="true" t="shared" si="308" ref="G848:H849">G849</f>
        <v>5529.9</v>
      </c>
      <c r="H848" s="28">
        <f t="shared" si="308"/>
        <v>5529.9</v>
      </c>
    </row>
    <row r="849" spans="1:8" ht="63">
      <c r="A849" s="55" t="s">
        <v>13</v>
      </c>
      <c r="B849" s="55" t="s">
        <v>58</v>
      </c>
      <c r="C849" s="55">
        <v>9990225000</v>
      </c>
      <c r="D849" s="55" t="s">
        <v>74</v>
      </c>
      <c r="E849" s="56" t="s">
        <v>2</v>
      </c>
      <c r="F849" s="28">
        <f>F850</f>
        <v>4664.099999999999</v>
      </c>
      <c r="G849" s="28">
        <f t="shared" si="308"/>
        <v>5529.9</v>
      </c>
      <c r="H849" s="28">
        <f t="shared" si="308"/>
        <v>5529.9</v>
      </c>
    </row>
    <row r="850" spans="1:8" ht="30" customHeight="1">
      <c r="A850" s="55" t="s">
        <v>13</v>
      </c>
      <c r="B850" s="55" t="s">
        <v>58</v>
      </c>
      <c r="C850" s="55">
        <v>9990225000</v>
      </c>
      <c r="D850" s="55">
        <v>120</v>
      </c>
      <c r="E850" s="56" t="s">
        <v>471</v>
      </c>
      <c r="F850" s="28">
        <f>4585.7+78.4</f>
        <v>4664.099999999999</v>
      </c>
      <c r="G850" s="28">
        <v>5529.9</v>
      </c>
      <c r="H850" s="28">
        <v>5529.9</v>
      </c>
    </row>
    <row r="851" spans="1:8" ht="31.5">
      <c r="A851" s="55" t="s">
        <v>13</v>
      </c>
      <c r="B851" s="55" t="s">
        <v>58</v>
      </c>
      <c r="C851" s="55">
        <v>9990300000</v>
      </c>
      <c r="D851" s="55"/>
      <c r="E851" s="56" t="s">
        <v>214</v>
      </c>
      <c r="F851" s="28">
        <f>F852+F854+F856</f>
        <v>2290</v>
      </c>
      <c r="G851" s="28">
        <f aca="true" t="shared" si="309" ref="G851:H851">G852+G854+G856</f>
        <v>0</v>
      </c>
      <c r="H851" s="28">
        <f t="shared" si="309"/>
        <v>0</v>
      </c>
    </row>
    <row r="852" spans="1:8" ht="63">
      <c r="A852" s="55" t="s">
        <v>13</v>
      </c>
      <c r="B852" s="55" t="s">
        <v>58</v>
      </c>
      <c r="C852" s="55">
        <v>9990300000</v>
      </c>
      <c r="D852" s="55" t="s">
        <v>74</v>
      </c>
      <c r="E852" s="56" t="s">
        <v>2</v>
      </c>
      <c r="F852" s="28">
        <f>F853</f>
        <v>1649.8</v>
      </c>
      <c r="G852" s="28">
        <f aca="true" t="shared" si="310" ref="G852:H852">G853</f>
        <v>0</v>
      </c>
      <c r="H852" s="28">
        <f t="shared" si="310"/>
        <v>0</v>
      </c>
    </row>
    <row r="853" spans="1:8" ht="12.75">
      <c r="A853" s="55" t="s">
        <v>13</v>
      </c>
      <c r="B853" s="55" t="s">
        <v>58</v>
      </c>
      <c r="C853" s="55">
        <v>9990300000</v>
      </c>
      <c r="D853" s="55">
        <v>110</v>
      </c>
      <c r="E853" s="22" t="s">
        <v>215</v>
      </c>
      <c r="F853" s="28">
        <v>1649.8</v>
      </c>
      <c r="G853" s="28">
        <v>0</v>
      </c>
      <c r="H853" s="28">
        <v>0</v>
      </c>
    </row>
    <row r="854" spans="1:8" ht="31.5">
      <c r="A854" s="55" t="s">
        <v>13</v>
      </c>
      <c r="B854" s="55" t="s">
        <v>58</v>
      </c>
      <c r="C854" s="55">
        <v>9990300000</v>
      </c>
      <c r="D854" s="55" t="s">
        <v>75</v>
      </c>
      <c r="E854" s="56" t="s">
        <v>110</v>
      </c>
      <c r="F854" s="28">
        <f>F855</f>
        <v>616</v>
      </c>
      <c r="G854" s="28">
        <f aca="true" t="shared" si="311" ref="G854:H854">G855</f>
        <v>0</v>
      </c>
      <c r="H854" s="28">
        <f t="shared" si="311"/>
        <v>0</v>
      </c>
    </row>
    <row r="855" spans="1:8" ht="36.6" customHeight="1">
      <c r="A855" s="55" t="s">
        <v>13</v>
      </c>
      <c r="B855" s="55" t="s">
        <v>58</v>
      </c>
      <c r="C855" s="55">
        <v>9990300000</v>
      </c>
      <c r="D855" s="55">
        <v>240</v>
      </c>
      <c r="E855" s="199" t="s">
        <v>469</v>
      </c>
      <c r="F855" s="28">
        <f>522.6+52.6+56.9-4-12.1</f>
        <v>616</v>
      </c>
      <c r="G855" s="28">
        <v>0</v>
      </c>
      <c r="H855" s="28">
        <v>0</v>
      </c>
    </row>
    <row r="856" spans="1:8" ht="12.75">
      <c r="A856" s="55" t="s">
        <v>13</v>
      </c>
      <c r="B856" s="55" t="s">
        <v>58</v>
      </c>
      <c r="C856" s="55">
        <v>9990300000</v>
      </c>
      <c r="D856" s="55" t="s">
        <v>76</v>
      </c>
      <c r="E856" s="56" t="s">
        <v>77</v>
      </c>
      <c r="F856" s="28">
        <f>F857</f>
        <v>24.200000000000003</v>
      </c>
      <c r="G856" s="28">
        <f aca="true" t="shared" si="312" ref="G856:H856">G857</f>
        <v>0</v>
      </c>
      <c r="H856" s="28">
        <f t="shared" si="312"/>
        <v>0</v>
      </c>
    </row>
    <row r="857" spans="1:8" ht="12.75">
      <c r="A857" s="55" t="s">
        <v>13</v>
      </c>
      <c r="B857" s="55" t="s">
        <v>58</v>
      </c>
      <c r="C857" s="55">
        <v>9990300000</v>
      </c>
      <c r="D857" s="55">
        <v>850</v>
      </c>
      <c r="E857" s="56" t="s">
        <v>126</v>
      </c>
      <c r="F857" s="28">
        <f>65-56.9+4+12.1</f>
        <v>24.200000000000003</v>
      </c>
      <c r="G857" s="28">
        <v>0</v>
      </c>
      <c r="H857" s="28">
        <v>0</v>
      </c>
    </row>
    <row r="858" spans="1:8" ht="12.75">
      <c r="A858" s="55" t="s">
        <v>13</v>
      </c>
      <c r="B858" s="55" t="s">
        <v>44</v>
      </c>
      <c r="C858" s="55" t="s">
        <v>72</v>
      </c>
      <c r="D858" s="55" t="s">
        <v>72</v>
      </c>
      <c r="E858" s="56" t="s">
        <v>36</v>
      </c>
      <c r="F858" s="28">
        <f>F859</f>
        <v>10448.599999999999</v>
      </c>
      <c r="G858" s="28">
        <f aca="true" t="shared" si="313" ref="G858:H862">G859</f>
        <v>10448.599999999999</v>
      </c>
      <c r="H858" s="28">
        <f t="shared" si="313"/>
        <v>10448.599999999999</v>
      </c>
    </row>
    <row r="859" spans="1:8" ht="12.75">
      <c r="A859" s="55" t="s">
        <v>13</v>
      </c>
      <c r="B859" s="55" t="s">
        <v>91</v>
      </c>
      <c r="C859" s="55" t="s">
        <v>72</v>
      </c>
      <c r="D859" s="55" t="s">
        <v>72</v>
      </c>
      <c r="E859" s="56" t="s">
        <v>92</v>
      </c>
      <c r="F859" s="28">
        <f>F860</f>
        <v>10448.599999999999</v>
      </c>
      <c r="G859" s="28">
        <f t="shared" si="313"/>
        <v>10448.599999999999</v>
      </c>
      <c r="H859" s="28">
        <f t="shared" si="313"/>
        <v>10448.599999999999</v>
      </c>
    </row>
    <row r="860" spans="1:8" ht="32.25" customHeight="1">
      <c r="A860" s="55" t="s">
        <v>13</v>
      </c>
      <c r="B860" s="55" t="s">
        <v>91</v>
      </c>
      <c r="C860" s="57">
        <v>1100000000</v>
      </c>
      <c r="D860" s="55"/>
      <c r="E860" s="56" t="s">
        <v>247</v>
      </c>
      <c r="F860" s="28">
        <f>F861</f>
        <v>10448.599999999999</v>
      </c>
      <c r="G860" s="28">
        <f t="shared" si="313"/>
        <v>10448.599999999999</v>
      </c>
      <c r="H860" s="28">
        <f t="shared" si="313"/>
        <v>10448.599999999999</v>
      </c>
    </row>
    <row r="861" spans="1:8" ht="12.75">
      <c r="A861" s="55" t="s">
        <v>13</v>
      </c>
      <c r="B861" s="55" t="s">
        <v>91</v>
      </c>
      <c r="C861" s="55">
        <v>1110000000</v>
      </c>
      <c r="D861" s="55"/>
      <c r="E861" s="56" t="s">
        <v>225</v>
      </c>
      <c r="F861" s="28">
        <f>F862</f>
        <v>10448.599999999999</v>
      </c>
      <c r="G861" s="28">
        <f t="shared" si="313"/>
        <v>10448.599999999999</v>
      </c>
      <c r="H861" s="28">
        <f t="shared" si="313"/>
        <v>10448.599999999999</v>
      </c>
    </row>
    <row r="862" spans="1:8" ht="47.25">
      <c r="A862" s="55" t="s">
        <v>13</v>
      </c>
      <c r="B862" s="55" t="s">
        <v>91</v>
      </c>
      <c r="C862" s="55">
        <v>1110200000</v>
      </c>
      <c r="D862" s="55"/>
      <c r="E862" s="56" t="s">
        <v>241</v>
      </c>
      <c r="F862" s="28">
        <f>F863</f>
        <v>10448.599999999999</v>
      </c>
      <c r="G862" s="28">
        <f t="shared" si="313"/>
        <v>10448.599999999999</v>
      </c>
      <c r="H862" s="28">
        <f t="shared" si="313"/>
        <v>10448.599999999999</v>
      </c>
    </row>
    <row r="863" spans="1:8" ht="78.75">
      <c r="A863" s="55" t="s">
        <v>13</v>
      </c>
      <c r="B863" s="55" t="s">
        <v>91</v>
      </c>
      <c r="C863" s="55">
        <v>1110210500</v>
      </c>
      <c r="D863" s="55"/>
      <c r="E863" s="56" t="s">
        <v>319</v>
      </c>
      <c r="F863" s="28">
        <f>F864+F866</f>
        <v>10448.599999999999</v>
      </c>
      <c r="G863" s="28">
        <f aca="true" t="shared" si="314" ref="G863:H863">G864+G866</f>
        <v>10448.599999999999</v>
      </c>
      <c r="H863" s="28">
        <f t="shared" si="314"/>
        <v>10448.599999999999</v>
      </c>
    </row>
    <row r="864" spans="1:8" ht="31.5">
      <c r="A864" s="55" t="s">
        <v>13</v>
      </c>
      <c r="B864" s="55" t="s">
        <v>91</v>
      </c>
      <c r="C864" s="55">
        <v>1110210500</v>
      </c>
      <c r="D864" s="55" t="s">
        <v>75</v>
      </c>
      <c r="E864" s="56" t="s">
        <v>110</v>
      </c>
      <c r="F864" s="28">
        <f>F865</f>
        <v>254.8</v>
      </c>
      <c r="G864" s="28">
        <f aca="true" t="shared" si="315" ref="G864:H864">G865</f>
        <v>254.8</v>
      </c>
      <c r="H864" s="28">
        <f t="shared" si="315"/>
        <v>254.8</v>
      </c>
    </row>
    <row r="865" spans="1:8" ht="30.6" customHeight="1">
      <c r="A865" s="55" t="s">
        <v>13</v>
      </c>
      <c r="B865" s="55" t="s">
        <v>91</v>
      </c>
      <c r="C865" s="55">
        <v>1110210500</v>
      </c>
      <c r="D865" s="55">
        <v>240</v>
      </c>
      <c r="E865" s="56" t="s">
        <v>469</v>
      </c>
      <c r="F865" s="28">
        <v>254.8</v>
      </c>
      <c r="G865" s="28">
        <v>254.8</v>
      </c>
      <c r="H865" s="28">
        <v>254.8</v>
      </c>
    </row>
    <row r="866" spans="1:8" ht="12.75">
      <c r="A866" s="55" t="s">
        <v>13</v>
      </c>
      <c r="B866" s="55" t="s">
        <v>91</v>
      </c>
      <c r="C866" s="55">
        <v>1110210500</v>
      </c>
      <c r="D866" s="55" t="s">
        <v>79</v>
      </c>
      <c r="E866" s="56" t="s">
        <v>80</v>
      </c>
      <c r="F866" s="28">
        <f>F867</f>
        <v>10193.8</v>
      </c>
      <c r="G866" s="28">
        <f aca="true" t="shared" si="316" ref="G866:H866">G867</f>
        <v>10193.8</v>
      </c>
      <c r="H866" s="28">
        <f t="shared" si="316"/>
        <v>10193.8</v>
      </c>
    </row>
    <row r="867" spans="1:8" ht="31.5">
      <c r="A867" s="55" t="s">
        <v>13</v>
      </c>
      <c r="B867" s="55" t="s">
        <v>91</v>
      </c>
      <c r="C867" s="55">
        <v>1110210500</v>
      </c>
      <c r="D867" s="1" t="s">
        <v>127</v>
      </c>
      <c r="E867" s="22" t="s">
        <v>128</v>
      </c>
      <c r="F867" s="28">
        <v>10193.8</v>
      </c>
      <c r="G867" s="28">
        <v>10193.8</v>
      </c>
      <c r="H867" s="28">
        <v>10193.8</v>
      </c>
    </row>
    <row r="868" ht="12.75">
      <c r="E868" s="38"/>
    </row>
    <row r="869" ht="12.75">
      <c r="E869" s="38"/>
    </row>
    <row r="870" ht="12.75">
      <c r="E870" s="38"/>
    </row>
  </sheetData>
  <mergeCells count="10">
    <mergeCell ref="B1:H1"/>
    <mergeCell ref="A2:H2"/>
    <mergeCell ref="A3:A5"/>
    <mergeCell ref="B3:B5"/>
    <mergeCell ref="C3:C5"/>
    <mergeCell ref="D3:D5"/>
    <mergeCell ref="E3:E5"/>
    <mergeCell ref="F3:H3"/>
    <mergeCell ref="F4:F5"/>
    <mergeCell ref="G4:H4"/>
  </mergeCells>
  <printOptions/>
  <pageMargins left="0.7874015748031497" right="0.1968503937007874" top="0.3937007874015748" bottom="0.3937007874015748" header="0.31496062992125984" footer="0.31496062992125984"/>
  <pageSetup fitToHeight="0"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G716"/>
  <sheetViews>
    <sheetView workbookViewId="0" topLeftCell="A709">
      <selection activeCell="A2" sqref="A2:G2"/>
    </sheetView>
  </sheetViews>
  <sheetFormatPr defaultColWidth="8.875" defaultRowHeight="12.75"/>
  <cols>
    <col min="1" max="1" width="7.75390625" style="17" customWidth="1"/>
    <col min="2" max="2" width="15.00390625" style="17" customWidth="1"/>
    <col min="3" max="3" width="5.625" style="17" customWidth="1"/>
    <col min="4" max="4" width="68.375" style="17" customWidth="1"/>
    <col min="5" max="5" width="11.25390625" style="27" customWidth="1"/>
    <col min="6" max="6" width="11.625" style="27" customWidth="1"/>
    <col min="7" max="7" width="11.75390625" style="27" customWidth="1"/>
    <col min="8" max="8" width="8.875" style="4" customWidth="1"/>
    <col min="9" max="9" width="13.875" style="41" bestFit="1" customWidth="1"/>
    <col min="10" max="10" width="10.375" style="41" bestFit="1" customWidth="1"/>
    <col min="11" max="11" width="12.875" style="41" customWidth="1"/>
    <col min="12" max="16384" width="8.875" style="4" customWidth="1"/>
  </cols>
  <sheetData>
    <row r="1" spans="1:7" ht="51.6" customHeight="1">
      <c r="A1" s="275" t="s">
        <v>724</v>
      </c>
      <c r="B1" s="275"/>
      <c r="C1" s="275"/>
      <c r="D1" s="275"/>
      <c r="E1" s="275"/>
      <c r="F1" s="275"/>
      <c r="G1" s="275"/>
    </row>
    <row r="2" spans="1:7" ht="77.45" customHeight="1">
      <c r="A2" s="281" t="s">
        <v>277</v>
      </c>
      <c r="B2" s="281"/>
      <c r="C2" s="281"/>
      <c r="D2" s="281"/>
      <c r="E2" s="281"/>
      <c r="F2" s="281"/>
      <c r="G2" s="281"/>
    </row>
    <row r="3" spans="1:7" ht="12.75">
      <c r="A3" s="285" t="s">
        <v>41</v>
      </c>
      <c r="B3" s="285" t="s">
        <v>21</v>
      </c>
      <c r="C3" s="285" t="s">
        <v>22</v>
      </c>
      <c r="D3" s="285" t="s">
        <v>23</v>
      </c>
      <c r="E3" s="285" t="s">
        <v>97</v>
      </c>
      <c r="F3" s="285"/>
      <c r="G3" s="285"/>
    </row>
    <row r="4" spans="1:7" ht="12.75">
      <c r="A4" s="285" t="s">
        <v>72</v>
      </c>
      <c r="B4" s="285" t="s">
        <v>72</v>
      </c>
      <c r="C4" s="285" t="s">
        <v>72</v>
      </c>
      <c r="D4" s="285" t="s">
        <v>72</v>
      </c>
      <c r="E4" s="285" t="s">
        <v>98</v>
      </c>
      <c r="F4" s="285" t="s">
        <v>100</v>
      </c>
      <c r="G4" s="285"/>
    </row>
    <row r="5" spans="1:7" ht="12.75">
      <c r="A5" s="285" t="s">
        <v>72</v>
      </c>
      <c r="B5" s="285" t="s">
        <v>72</v>
      </c>
      <c r="C5" s="285" t="s">
        <v>72</v>
      </c>
      <c r="D5" s="285" t="s">
        <v>72</v>
      </c>
      <c r="E5" s="285" t="s">
        <v>72</v>
      </c>
      <c r="F5" s="62" t="s">
        <v>99</v>
      </c>
      <c r="G5" s="62" t="s">
        <v>119</v>
      </c>
    </row>
    <row r="6" spans="1:7" ht="12.75">
      <c r="A6" s="62" t="s">
        <v>5</v>
      </c>
      <c r="B6" s="62" t="s">
        <v>83</v>
      </c>
      <c r="C6" s="62" t="s">
        <v>84</v>
      </c>
      <c r="D6" s="62" t="s">
        <v>85</v>
      </c>
      <c r="E6" s="62" t="s">
        <v>86</v>
      </c>
      <c r="F6" s="62" t="s">
        <v>87</v>
      </c>
      <c r="G6" s="62" t="s">
        <v>108</v>
      </c>
    </row>
    <row r="7" spans="1:7" ht="12.75">
      <c r="A7" s="5" t="s">
        <v>72</v>
      </c>
      <c r="B7" s="5" t="s">
        <v>72</v>
      </c>
      <c r="C7" s="5" t="s">
        <v>72</v>
      </c>
      <c r="D7" s="6" t="s">
        <v>1</v>
      </c>
      <c r="E7" s="7">
        <f>E8+E168+E194+E260+E330+E531+E580+E638+E693+E710</f>
        <v>822957.4</v>
      </c>
      <c r="F7" s="7">
        <f>F8+F168+F194+F260+F330+F531+F580+F638+F693+F710</f>
        <v>615531.9</v>
      </c>
      <c r="G7" s="7">
        <f>G8+G168+G194+G260+G330+G531+G580+G638+G693+G710</f>
        <v>605598.2000000001</v>
      </c>
    </row>
    <row r="8" spans="1:7" ht="12.75">
      <c r="A8" s="5" t="s">
        <v>60</v>
      </c>
      <c r="B8" s="5" t="s">
        <v>72</v>
      </c>
      <c r="C8" s="5" t="s">
        <v>72</v>
      </c>
      <c r="D8" s="26" t="s">
        <v>25</v>
      </c>
      <c r="E8" s="7">
        <f>E9+E15+E32+E53+E59+E77+E83+E70</f>
        <v>71911.4</v>
      </c>
      <c r="F8" s="7">
        <f>F9+F15+F32+F53+F59+F77+F83+F70</f>
        <v>71621.4</v>
      </c>
      <c r="G8" s="7">
        <f>G9+G15+G32+G53+G59+G77+G83+G70</f>
        <v>71527.6</v>
      </c>
    </row>
    <row r="9" spans="1:7" ht="37.9" customHeight="1">
      <c r="A9" s="62" t="s">
        <v>48</v>
      </c>
      <c r="B9" s="62" t="s">
        <v>72</v>
      </c>
      <c r="C9" s="62" t="s">
        <v>72</v>
      </c>
      <c r="D9" s="15" t="s">
        <v>65</v>
      </c>
      <c r="E9" s="8">
        <f>E10</f>
        <v>1782.1</v>
      </c>
      <c r="F9" s="8">
        <f aca="true" t="shared" si="0" ref="F9:G13">F10</f>
        <v>1479</v>
      </c>
      <c r="G9" s="8">
        <f t="shared" si="0"/>
        <v>1479</v>
      </c>
    </row>
    <row r="10" spans="1:7" ht="12.75">
      <c r="A10" s="59" t="s">
        <v>48</v>
      </c>
      <c r="B10" s="59">
        <v>9900000000</v>
      </c>
      <c r="C10" s="59"/>
      <c r="D10" s="31" t="s">
        <v>131</v>
      </c>
      <c r="E10" s="21">
        <f>E11</f>
        <v>1782.1</v>
      </c>
      <c r="F10" s="21">
        <f t="shared" si="0"/>
        <v>1479</v>
      </c>
      <c r="G10" s="21">
        <f t="shared" si="0"/>
        <v>1479</v>
      </c>
    </row>
    <row r="11" spans="1:7" ht="31.5">
      <c r="A11" s="59" t="s">
        <v>48</v>
      </c>
      <c r="B11" s="59">
        <v>9990000000</v>
      </c>
      <c r="C11" s="59"/>
      <c r="D11" s="31" t="s">
        <v>199</v>
      </c>
      <c r="E11" s="21">
        <f>E12</f>
        <v>1782.1</v>
      </c>
      <c r="F11" s="21">
        <f t="shared" si="0"/>
        <v>1479</v>
      </c>
      <c r="G11" s="21">
        <f t="shared" si="0"/>
        <v>1479</v>
      </c>
    </row>
    <row r="12" spans="1:7" ht="12.75">
      <c r="A12" s="59" t="s">
        <v>48</v>
      </c>
      <c r="B12" s="59">
        <v>9990021000</v>
      </c>
      <c r="C12" s="31"/>
      <c r="D12" s="31" t="s">
        <v>200</v>
      </c>
      <c r="E12" s="21">
        <f>E13</f>
        <v>1782.1</v>
      </c>
      <c r="F12" s="21">
        <f t="shared" si="0"/>
        <v>1479</v>
      </c>
      <c r="G12" s="21">
        <f t="shared" si="0"/>
        <v>1479</v>
      </c>
    </row>
    <row r="13" spans="1:7" ht="63">
      <c r="A13" s="59" t="s">
        <v>48</v>
      </c>
      <c r="B13" s="59">
        <v>9990021000</v>
      </c>
      <c r="C13" s="59" t="s">
        <v>74</v>
      </c>
      <c r="D13" s="31" t="s">
        <v>2</v>
      </c>
      <c r="E13" s="21">
        <f>E14</f>
        <v>1782.1</v>
      </c>
      <c r="F13" s="21">
        <f t="shared" si="0"/>
        <v>1479</v>
      </c>
      <c r="G13" s="21">
        <f t="shared" si="0"/>
        <v>1479</v>
      </c>
    </row>
    <row r="14" spans="1:7" ht="31.9" customHeight="1">
      <c r="A14" s="59" t="s">
        <v>48</v>
      </c>
      <c r="B14" s="59">
        <v>9990021000</v>
      </c>
      <c r="C14" s="59">
        <v>120</v>
      </c>
      <c r="D14" s="31" t="s">
        <v>471</v>
      </c>
      <c r="E14" s="21">
        <f>'№4 '!F15</f>
        <v>1782.1</v>
      </c>
      <c r="F14" s="21">
        <f>'№4 '!G15</f>
        <v>1479</v>
      </c>
      <c r="G14" s="21">
        <f>'№4 '!H15</f>
        <v>1479</v>
      </c>
    </row>
    <row r="15" spans="1:7" ht="46.5" customHeight="1">
      <c r="A15" s="62" t="s">
        <v>49</v>
      </c>
      <c r="B15" s="62" t="s">
        <v>72</v>
      </c>
      <c r="C15" s="62" t="s">
        <v>72</v>
      </c>
      <c r="D15" s="15" t="s">
        <v>26</v>
      </c>
      <c r="E15" s="8">
        <f>E16</f>
        <v>4114.299999999999</v>
      </c>
      <c r="F15" s="8">
        <f aca="true" t="shared" si="1" ref="F15:G17">F16</f>
        <v>4114.3</v>
      </c>
      <c r="G15" s="8">
        <f t="shared" si="1"/>
        <v>4114.3</v>
      </c>
    </row>
    <row r="16" spans="1:7" ht="12.75">
      <c r="A16" s="59" t="s">
        <v>49</v>
      </c>
      <c r="B16" s="61" t="s">
        <v>136</v>
      </c>
      <c r="C16" s="61" t="s">
        <v>72</v>
      </c>
      <c r="D16" s="60" t="s">
        <v>131</v>
      </c>
      <c r="E16" s="21">
        <f>E17</f>
        <v>4114.299999999999</v>
      </c>
      <c r="F16" s="21">
        <f t="shared" si="1"/>
        <v>4114.3</v>
      </c>
      <c r="G16" s="21">
        <f t="shared" si="1"/>
        <v>4114.3</v>
      </c>
    </row>
    <row r="17" spans="1:7" ht="31.5">
      <c r="A17" s="59" t="s">
        <v>49</v>
      </c>
      <c r="B17" s="59">
        <v>9990000000</v>
      </c>
      <c r="C17" s="59"/>
      <c r="D17" s="31" t="s">
        <v>199</v>
      </c>
      <c r="E17" s="21">
        <f>E18</f>
        <v>4114.299999999999</v>
      </c>
      <c r="F17" s="21">
        <f t="shared" si="1"/>
        <v>4114.3</v>
      </c>
      <c r="G17" s="21">
        <f t="shared" si="1"/>
        <v>4114.3</v>
      </c>
    </row>
    <row r="18" spans="1:7" ht="31.5">
      <c r="A18" s="59" t="s">
        <v>49</v>
      </c>
      <c r="B18" s="59">
        <v>9990100000</v>
      </c>
      <c r="C18" s="59"/>
      <c r="D18" s="31" t="s">
        <v>221</v>
      </c>
      <c r="E18" s="21">
        <f>E19+E22+E29</f>
        <v>4114.299999999999</v>
      </c>
      <c r="F18" s="21">
        <f aca="true" t="shared" si="2" ref="F18:G18">F19+F22+F29</f>
        <v>4114.3</v>
      </c>
      <c r="G18" s="21">
        <f t="shared" si="2"/>
        <v>4114.3</v>
      </c>
    </row>
    <row r="19" spans="1:7" ht="12.75">
      <c r="A19" s="59" t="s">
        <v>49</v>
      </c>
      <c r="B19" s="59">
        <v>9990122000</v>
      </c>
      <c r="C19" s="59"/>
      <c r="D19" s="31" t="s">
        <v>222</v>
      </c>
      <c r="E19" s="21">
        <f>E20</f>
        <v>1208.6</v>
      </c>
      <c r="F19" s="21">
        <f aca="true" t="shared" si="3" ref="F19:G20">F20</f>
        <v>1208.6</v>
      </c>
      <c r="G19" s="21">
        <f t="shared" si="3"/>
        <v>1208.6</v>
      </c>
    </row>
    <row r="20" spans="1:7" ht="63">
      <c r="A20" s="59" t="s">
        <v>49</v>
      </c>
      <c r="B20" s="59">
        <v>9990122000</v>
      </c>
      <c r="C20" s="61" t="s">
        <v>74</v>
      </c>
      <c r="D20" s="60" t="s">
        <v>2</v>
      </c>
      <c r="E20" s="21">
        <f>E21</f>
        <v>1208.6</v>
      </c>
      <c r="F20" s="21">
        <f t="shared" si="3"/>
        <v>1208.6</v>
      </c>
      <c r="G20" s="21">
        <f t="shared" si="3"/>
        <v>1208.6</v>
      </c>
    </row>
    <row r="21" spans="1:7" ht="33.6" customHeight="1">
      <c r="A21" s="59" t="s">
        <v>49</v>
      </c>
      <c r="B21" s="59">
        <v>9990122000</v>
      </c>
      <c r="C21" s="59">
        <v>120</v>
      </c>
      <c r="D21" s="31" t="s">
        <v>471</v>
      </c>
      <c r="E21" s="21">
        <f>'№4 '!F606</f>
        <v>1208.6</v>
      </c>
      <c r="F21" s="21">
        <f>'№4 '!G606</f>
        <v>1208.6</v>
      </c>
      <c r="G21" s="21">
        <f>'№4 '!H606</f>
        <v>1208.6</v>
      </c>
    </row>
    <row r="22" spans="1:7" ht="31.5">
      <c r="A22" s="59" t="s">
        <v>49</v>
      </c>
      <c r="B22" s="59">
        <v>9990123000</v>
      </c>
      <c r="C22" s="59"/>
      <c r="D22" s="31" t="s">
        <v>223</v>
      </c>
      <c r="E22" s="21">
        <f>E23+E25+E27</f>
        <v>2615.7999999999997</v>
      </c>
      <c r="F22" s="21">
        <f aca="true" t="shared" si="4" ref="F22:G22">F23+F25+F27</f>
        <v>2447.1</v>
      </c>
      <c r="G22" s="21">
        <f t="shared" si="4"/>
        <v>2447.1</v>
      </c>
    </row>
    <row r="23" spans="1:7" ht="63">
      <c r="A23" s="59" t="s">
        <v>49</v>
      </c>
      <c r="B23" s="59">
        <v>9990123000</v>
      </c>
      <c r="C23" s="59" t="s">
        <v>74</v>
      </c>
      <c r="D23" s="31" t="s">
        <v>2</v>
      </c>
      <c r="E23" s="21">
        <f>E24</f>
        <v>2074.4</v>
      </c>
      <c r="F23" s="21">
        <f aca="true" t="shared" si="5" ref="F23:G23">F24</f>
        <v>2069.9</v>
      </c>
      <c r="G23" s="21">
        <f t="shared" si="5"/>
        <v>2069.9</v>
      </c>
    </row>
    <row r="24" spans="1:7" ht="32.45" customHeight="1">
      <c r="A24" s="59" t="s">
        <v>49</v>
      </c>
      <c r="B24" s="59">
        <v>9990123000</v>
      </c>
      <c r="C24" s="59">
        <v>120</v>
      </c>
      <c r="D24" s="31" t="s">
        <v>471</v>
      </c>
      <c r="E24" s="21">
        <f>'№4 '!F609</f>
        <v>2074.4</v>
      </c>
      <c r="F24" s="21">
        <f>'№4 '!G609</f>
        <v>2069.9</v>
      </c>
      <c r="G24" s="21">
        <f>'№4 '!H609</f>
        <v>2069.9</v>
      </c>
    </row>
    <row r="25" spans="1:7" ht="36" customHeight="1">
      <c r="A25" s="59" t="s">
        <v>49</v>
      </c>
      <c r="B25" s="59">
        <v>9990123000</v>
      </c>
      <c r="C25" s="110" t="s">
        <v>75</v>
      </c>
      <c r="D25" s="109" t="s">
        <v>110</v>
      </c>
      <c r="E25" s="21">
        <f>E26</f>
        <v>539.1999999999999</v>
      </c>
      <c r="F25" s="21">
        <f aca="true" t="shared" si="6" ref="F25:G25">F26</f>
        <v>375</v>
      </c>
      <c r="G25" s="21">
        <f t="shared" si="6"/>
        <v>375</v>
      </c>
    </row>
    <row r="26" spans="1:7" ht="33" customHeight="1">
      <c r="A26" s="59" t="s">
        <v>49</v>
      </c>
      <c r="B26" s="59">
        <v>9990123000</v>
      </c>
      <c r="C26" s="108">
        <v>240</v>
      </c>
      <c r="D26" s="109" t="s">
        <v>469</v>
      </c>
      <c r="E26" s="21">
        <f>'№4 '!F611</f>
        <v>539.1999999999999</v>
      </c>
      <c r="F26" s="21">
        <f>'№4 '!G611</f>
        <v>375</v>
      </c>
      <c r="G26" s="21">
        <f>'№4 '!H611</f>
        <v>375</v>
      </c>
    </row>
    <row r="27" spans="1:7" ht="12.75">
      <c r="A27" s="59" t="s">
        <v>49</v>
      </c>
      <c r="B27" s="59">
        <v>9990123000</v>
      </c>
      <c r="C27" s="59" t="s">
        <v>76</v>
      </c>
      <c r="D27" s="31" t="s">
        <v>77</v>
      </c>
      <c r="E27" s="21">
        <f>E28</f>
        <v>2.2</v>
      </c>
      <c r="F27" s="21">
        <f aca="true" t="shared" si="7" ref="F27:G27">F28</f>
        <v>2.2</v>
      </c>
      <c r="G27" s="21">
        <f t="shared" si="7"/>
        <v>2.2</v>
      </c>
    </row>
    <row r="28" spans="1:7" ht="12.75">
      <c r="A28" s="59" t="s">
        <v>49</v>
      </c>
      <c r="B28" s="59">
        <v>9990123000</v>
      </c>
      <c r="C28" s="59">
        <v>850</v>
      </c>
      <c r="D28" s="31" t="s">
        <v>126</v>
      </c>
      <c r="E28" s="21">
        <f>'№4 '!F613</f>
        <v>2.2</v>
      </c>
      <c r="F28" s="21">
        <f>'№4 '!G613</f>
        <v>2.2</v>
      </c>
      <c r="G28" s="21">
        <f>'№4 '!H613</f>
        <v>2.2</v>
      </c>
    </row>
    <row r="29" spans="1:7" ht="12.75">
      <c r="A29" s="59" t="s">
        <v>49</v>
      </c>
      <c r="B29" s="59">
        <v>9990124000</v>
      </c>
      <c r="C29" s="59"/>
      <c r="D29" s="60" t="s">
        <v>224</v>
      </c>
      <c r="E29" s="21">
        <f>E30</f>
        <v>289.90000000000003</v>
      </c>
      <c r="F29" s="21">
        <f aca="true" t="shared" si="8" ref="F29:G30">F30</f>
        <v>458.6</v>
      </c>
      <c r="G29" s="21">
        <f t="shared" si="8"/>
        <v>458.6</v>
      </c>
    </row>
    <row r="30" spans="1:7" ht="63">
      <c r="A30" s="59" t="s">
        <v>49</v>
      </c>
      <c r="B30" s="59">
        <v>9990124000</v>
      </c>
      <c r="C30" s="59" t="s">
        <v>74</v>
      </c>
      <c r="D30" s="31" t="s">
        <v>2</v>
      </c>
      <c r="E30" s="21">
        <f>E31</f>
        <v>289.90000000000003</v>
      </c>
      <c r="F30" s="21">
        <f t="shared" si="8"/>
        <v>458.6</v>
      </c>
      <c r="G30" s="21">
        <f t="shared" si="8"/>
        <v>458.6</v>
      </c>
    </row>
    <row r="31" spans="1:7" ht="36.6" customHeight="1">
      <c r="A31" s="59" t="s">
        <v>49</v>
      </c>
      <c r="B31" s="59">
        <v>9990124000</v>
      </c>
      <c r="C31" s="59">
        <v>120</v>
      </c>
      <c r="D31" s="31" t="s">
        <v>471</v>
      </c>
      <c r="E31" s="21">
        <f>'№4 '!F616</f>
        <v>289.90000000000003</v>
      </c>
      <c r="F31" s="21">
        <f>'№4 '!G616</f>
        <v>458.6</v>
      </c>
      <c r="G31" s="21">
        <f>'№4 '!H616</f>
        <v>458.6</v>
      </c>
    </row>
    <row r="32" spans="1:7" ht="47.25">
      <c r="A32" s="59" t="s">
        <v>50</v>
      </c>
      <c r="B32" s="59" t="s">
        <v>72</v>
      </c>
      <c r="C32" s="59" t="s">
        <v>72</v>
      </c>
      <c r="D32" s="31" t="s">
        <v>27</v>
      </c>
      <c r="E32" s="21">
        <f>E33</f>
        <v>24731.099999999995</v>
      </c>
      <c r="F32" s="21">
        <f aca="true" t="shared" si="9" ref="F32:G34">F33</f>
        <v>18867.899999999998</v>
      </c>
      <c r="G32" s="21">
        <f t="shared" si="9"/>
        <v>18867.899999999998</v>
      </c>
    </row>
    <row r="33" spans="1:7" ht="12.75">
      <c r="A33" s="59" t="s">
        <v>50</v>
      </c>
      <c r="B33" s="59">
        <v>9900000000</v>
      </c>
      <c r="C33" s="59"/>
      <c r="D33" s="31" t="s">
        <v>131</v>
      </c>
      <c r="E33" s="21">
        <f>E34</f>
        <v>24731.099999999995</v>
      </c>
      <c r="F33" s="21">
        <f t="shared" si="9"/>
        <v>18867.899999999998</v>
      </c>
      <c r="G33" s="21">
        <f t="shared" si="9"/>
        <v>18867.899999999998</v>
      </c>
    </row>
    <row r="34" spans="1:7" ht="31.5">
      <c r="A34" s="59" t="s">
        <v>50</v>
      </c>
      <c r="B34" s="59">
        <v>9990000000</v>
      </c>
      <c r="C34" s="59"/>
      <c r="D34" s="31" t="s">
        <v>199</v>
      </c>
      <c r="E34" s="21">
        <f>E35</f>
        <v>24731.099999999995</v>
      </c>
      <c r="F34" s="21">
        <f t="shared" si="9"/>
        <v>18867.899999999998</v>
      </c>
      <c r="G34" s="21">
        <f t="shared" si="9"/>
        <v>18867.899999999998</v>
      </c>
    </row>
    <row r="35" spans="1:7" ht="31.5">
      <c r="A35" s="59" t="s">
        <v>50</v>
      </c>
      <c r="B35" s="59">
        <v>9990200000</v>
      </c>
      <c r="C35" s="31"/>
      <c r="D35" s="31" t="s">
        <v>145</v>
      </c>
      <c r="E35" s="21">
        <f>E41+E50+E36</f>
        <v>24731.099999999995</v>
      </c>
      <c r="F35" s="21">
        <f>F41+F50+F36</f>
        <v>18867.899999999998</v>
      </c>
      <c r="G35" s="21">
        <f>G41+G50+G36</f>
        <v>18867.899999999998</v>
      </c>
    </row>
    <row r="36" spans="1:7" ht="63">
      <c r="A36" s="59" t="s">
        <v>50</v>
      </c>
      <c r="B36" s="59">
        <v>9990210510</v>
      </c>
      <c r="C36" s="59"/>
      <c r="D36" s="31" t="s">
        <v>202</v>
      </c>
      <c r="E36" s="21">
        <f>E37+E39</f>
        <v>650</v>
      </c>
      <c r="F36" s="21">
        <f aca="true" t="shared" si="10" ref="F36:G36">F37+F39</f>
        <v>650</v>
      </c>
      <c r="G36" s="21">
        <f t="shared" si="10"/>
        <v>650</v>
      </c>
    </row>
    <row r="37" spans="1:7" ht="63">
      <c r="A37" s="59" t="s">
        <v>50</v>
      </c>
      <c r="B37" s="59">
        <v>9990210510</v>
      </c>
      <c r="C37" s="59" t="s">
        <v>74</v>
      </c>
      <c r="D37" s="31" t="s">
        <v>2</v>
      </c>
      <c r="E37" s="21">
        <f>E38</f>
        <v>575</v>
      </c>
      <c r="F37" s="21">
        <f aca="true" t="shared" si="11" ref="F37:G37">F38</f>
        <v>575</v>
      </c>
      <c r="G37" s="21">
        <f t="shared" si="11"/>
        <v>575</v>
      </c>
    </row>
    <row r="38" spans="1:7" ht="31.5">
      <c r="A38" s="59" t="s">
        <v>50</v>
      </c>
      <c r="B38" s="59">
        <v>9990210510</v>
      </c>
      <c r="C38" s="59">
        <v>120</v>
      </c>
      <c r="D38" s="31" t="s">
        <v>471</v>
      </c>
      <c r="E38" s="21">
        <f>'№4 '!F22</f>
        <v>575</v>
      </c>
      <c r="F38" s="21">
        <f>'№4 '!G22</f>
        <v>575</v>
      </c>
      <c r="G38" s="21">
        <f>'№4 '!H22</f>
        <v>575</v>
      </c>
    </row>
    <row r="39" spans="1:7" ht="31.5">
      <c r="A39" s="59" t="s">
        <v>50</v>
      </c>
      <c r="B39" s="59">
        <v>9990210510</v>
      </c>
      <c r="C39" s="59" t="s">
        <v>75</v>
      </c>
      <c r="D39" s="31" t="s">
        <v>110</v>
      </c>
      <c r="E39" s="21">
        <f>E40</f>
        <v>75</v>
      </c>
      <c r="F39" s="21">
        <f aca="true" t="shared" si="12" ref="F39:G39">F40</f>
        <v>75</v>
      </c>
      <c r="G39" s="21">
        <f t="shared" si="12"/>
        <v>75</v>
      </c>
    </row>
    <row r="40" spans="1:7" ht="31.5">
      <c r="A40" s="59" t="s">
        <v>50</v>
      </c>
      <c r="B40" s="59">
        <v>9990210510</v>
      </c>
      <c r="C40" s="59">
        <v>240</v>
      </c>
      <c r="D40" s="199" t="s">
        <v>469</v>
      </c>
      <c r="E40" s="21">
        <f>'№4 '!F24</f>
        <v>75</v>
      </c>
      <c r="F40" s="21">
        <f>'№4 '!G24</f>
        <v>75</v>
      </c>
      <c r="G40" s="21">
        <f>'№4 '!H24</f>
        <v>75</v>
      </c>
    </row>
    <row r="41" spans="1:7" ht="56.45" customHeight="1">
      <c r="A41" s="59" t="s">
        <v>50</v>
      </c>
      <c r="B41" s="59">
        <v>9990225000</v>
      </c>
      <c r="C41" s="59"/>
      <c r="D41" s="31" t="s">
        <v>146</v>
      </c>
      <c r="E41" s="21">
        <f>E42+E44+E48+E46</f>
        <v>24006.099999999995</v>
      </c>
      <c r="F41" s="21">
        <f aca="true" t="shared" si="13" ref="F41:G41">F42+F44+F48+F46</f>
        <v>18142.899999999998</v>
      </c>
      <c r="G41" s="21">
        <f t="shared" si="13"/>
        <v>18142.899999999998</v>
      </c>
    </row>
    <row r="42" spans="1:7" ht="63">
      <c r="A42" s="59" t="s">
        <v>50</v>
      </c>
      <c r="B42" s="59">
        <v>9990225000</v>
      </c>
      <c r="C42" s="59" t="s">
        <v>74</v>
      </c>
      <c r="D42" s="31" t="s">
        <v>2</v>
      </c>
      <c r="E42" s="21">
        <f>E43</f>
        <v>21937.199999999997</v>
      </c>
      <c r="F42" s="21">
        <f aca="true" t="shared" si="14" ref="F42:G42">F43</f>
        <v>18142.899999999998</v>
      </c>
      <c r="G42" s="21">
        <f t="shared" si="14"/>
        <v>18142.899999999998</v>
      </c>
    </row>
    <row r="43" spans="1:7" ht="32.45" customHeight="1">
      <c r="A43" s="59" t="s">
        <v>50</v>
      </c>
      <c r="B43" s="59">
        <v>9990225000</v>
      </c>
      <c r="C43" s="59">
        <v>120</v>
      </c>
      <c r="D43" s="31" t="s">
        <v>471</v>
      </c>
      <c r="E43" s="21">
        <f>'№4 '!F27</f>
        <v>21937.199999999997</v>
      </c>
      <c r="F43" s="21">
        <f>'№4 '!G27</f>
        <v>18142.899999999998</v>
      </c>
      <c r="G43" s="21">
        <f>'№4 '!H27</f>
        <v>18142.899999999998</v>
      </c>
    </row>
    <row r="44" spans="1:7" ht="31.5">
      <c r="A44" s="59" t="s">
        <v>50</v>
      </c>
      <c r="B44" s="59">
        <v>9990225000</v>
      </c>
      <c r="C44" s="59" t="s">
        <v>75</v>
      </c>
      <c r="D44" s="31" t="s">
        <v>110</v>
      </c>
      <c r="E44" s="21">
        <f>E45</f>
        <v>1857.3000000000002</v>
      </c>
      <c r="F44" s="21">
        <f aca="true" t="shared" si="15" ref="F44:G44">F45</f>
        <v>0</v>
      </c>
      <c r="G44" s="21">
        <f t="shared" si="15"/>
        <v>0</v>
      </c>
    </row>
    <row r="45" spans="1:7" ht="35.45" customHeight="1">
      <c r="A45" s="59" t="s">
        <v>50</v>
      </c>
      <c r="B45" s="59">
        <v>9990225000</v>
      </c>
      <c r="C45" s="59">
        <v>240</v>
      </c>
      <c r="D45" s="199" t="s">
        <v>469</v>
      </c>
      <c r="E45" s="21">
        <f>'№4 '!F29</f>
        <v>1857.3000000000002</v>
      </c>
      <c r="F45" s="21">
        <f>'№4 '!G29</f>
        <v>0</v>
      </c>
      <c r="G45" s="21">
        <f>'№4 '!H29</f>
        <v>0</v>
      </c>
    </row>
    <row r="46" spans="1:7" ht="18" customHeight="1">
      <c r="A46" s="141" t="s">
        <v>50</v>
      </c>
      <c r="B46" s="141">
        <v>9990225000</v>
      </c>
      <c r="C46" s="141">
        <v>300</v>
      </c>
      <c r="D46" s="142" t="s">
        <v>80</v>
      </c>
      <c r="E46" s="21">
        <f>E47</f>
        <v>129.3</v>
      </c>
      <c r="F46" s="21">
        <f aca="true" t="shared" si="16" ref="F46:G46">F47</f>
        <v>0</v>
      </c>
      <c r="G46" s="21">
        <f t="shared" si="16"/>
        <v>0</v>
      </c>
    </row>
    <row r="47" spans="1:7" ht="35.45" customHeight="1">
      <c r="A47" s="141" t="s">
        <v>50</v>
      </c>
      <c r="B47" s="141">
        <v>9990225000</v>
      </c>
      <c r="C47" s="141">
        <v>320</v>
      </c>
      <c r="D47" s="142" t="s">
        <v>128</v>
      </c>
      <c r="E47" s="21">
        <f>'№4 '!F31</f>
        <v>129.3</v>
      </c>
      <c r="F47" s="21">
        <f>'№4 '!G31</f>
        <v>0</v>
      </c>
      <c r="G47" s="21">
        <f>'№4 '!H31</f>
        <v>0</v>
      </c>
    </row>
    <row r="48" spans="1:7" ht="12.75">
      <c r="A48" s="59" t="s">
        <v>50</v>
      </c>
      <c r="B48" s="59">
        <v>9990225000</v>
      </c>
      <c r="C48" s="59" t="s">
        <v>76</v>
      </c>
      <c r="D48" s="31" t="s">
        <v>77</v>
      </c>
      <c r="E48" s="21">
        <f>E49</f>
        <v>82.30000000000001</v>
      </c>
      <c r="F48" s="21">
        <f aca="true" t="shared" si="17" ref="F48:G48">F49</f>
        <v>0</v>
      </c>
      <c r="G48" s="21">
        <f t="shared" si="17"/>
        <v>0</v>
      </c>
    </row>
    <row r="49" spans="1:7" ht="12.75">
      <c r="A49" s="59" t="s">
        <v>50</v>
      </c>
      <c r="B49" s="59">
        <v>9990225000</v>
      </c>
      <c r="C49" s="59">
        <v>850</v>
      </c>
      <c r="D49" s="31" t="s">
        <v>126</v>
      </c>
      <c r="E49" s="21">
        <f>'№4 '!F33</f>
        <v>82.30000000000001</v>
      </c>
      <c r="F49" s="21">
        <f>'№4 '!G33</f>
        <v>0</v>
      </c>
      <c r="G49" s="21">
        <f>'№4 '!H33</f>
        <v>0</v>
      </c>
    </row>
    <row r="50" spans="1:7" ht="49.9" customHeight="1">
      <c r="A50" s="59" t="s">
        <v>50</v>
      </c>
      <c r="B50" s="59">
        <v>9990226000</v>
      </c>
      <c r="C50" s="59"/>
      <c r="D50" s="31" t="s">
        <v>201</v>
      </c>
      <c r="E50" s="21">
        <f>E51</f>
        <v>75</v>
      </c>
      <c r="F50" s="21">
        <f aca="true" t="shared" si="18" ref="F50:G51">F51</f>
        <v>75</v>
      </c>
      <c r="G50" s="21">
        <f t="shared" si="18"/>
        <v>75</v>
      </c>
    </row>
    <row r="51" spans="1:7" ht="63">
      <c r="A51" s="59" t="s">
        <v>50</v>
      </c>
      <c r="B51" s="59">
        <v>9990226000</v>
      </c>
      <c r="C51" s="59" t="s">
        <v>74</v>
      </c>
      <c r="D51" s="31" t="s">
        <v>2</v>
      </c>
      <c r="E51" s="21">
        <f>E52</f>
        <v>75</v>
      </c>
      <c r="F51" s="21">
        <f t="shared" si="18"/>
        <v>75</v>
      </c>
      <c r="G51" s="21">
        <f t="shared" si="18"/>
        <v>75</v>
      </c>
    </row>
    <row r="52" spans="1:7" ht="33.6" customHeight="1">
      <c r="A52" s="59" t="s">
        <v>50</v>
      </c>
      <c r="B52" s="59">
        <v>9990226000</v>
      </c>
      <c r="C52" s="59">
        <v>120</v>
      </c>
      <c r="D52" s="31" t="s">
        <v>471</v>
      </c>
      <c r="E52" s="21">
        <f>'№4 '!F36</f>
        <v>75</v>
      </c>
      <c r="F52" s="21">
        <f>'№4 '!G36</f>
        <v>75</v>
      </c>
      <c r="G52" s="21">
        <f>'№4 '!H36</f>
        <v>75</v>
      </c>
    </row>
    <row r="53" spans="1:7" ht="24" customHeight="1">
      <c r="A53" s="10" t="s">
        <v>210</v>
      </c>
      <c r="B53" s="11"/>
      <c r="C53" s="14"/>
      <c r="D53" s="9" t="s">
        <v>211</v>
      </c>
      <c r="E53" s="21">
        <f>E54</f>
        <v>145</v>
      </c>
      <c r="F53" s="21">
        <f aca="true" t="shared" si="19" ref="F53:G57">F54</f>
        <v>9.5</v>
      </c>
      <c r="G53" s="21">
        <f t="shared" si="19"/>
        <v>15.7</v>
      </c>
    </row>
    <row r="54" spans="1:7" ht="17.25" customHeight="1">
      <c r="A54" s="10" t="s">
        <v>210</v>
      </c>
      <c r="B54" s="59">
        <v>9900000000</v>
      </c>
      <c r="C54" s="59"/>
      <c r="D54" s="31" t="s">
        <v>131</v>
      </c>
      <c r="E54" s="21">
        <f>E55</f>
        <v>145</v>
      </c>
      <c r="F54" s="21">
        <f t="shared" si="19"/>
        <v>9.5</v>
      </c>
      <c r="G54" s="21">
        <f t="shared" si="19"/>
        <v>15.7</v>
      </c>
    </row>
    <row r="55" spans="1:7" ht="38.45" customHeight="1">
      <c r="A55" s="10" t="s">
        <v>210</v>
      </c>
      <c r="B55" s="59">
        <v>9930000000</v>
      </c>
      <c r="C55" s="59"/>
      <c r="D55" s="31" t="s">
        <v>212</v>
      </c>
      <c r="E55" s="21">
        <f>E56</f>
        <v>145</v>
      </c>
      <c r="F55" s="21">
        <f t="shared" si="19"/>
        <v>9.5</v>
      </c>
      <c r="G55" s="21">
        <f t="shared" si="19"/>
        <v>15.7</v>
      </c>
    </row>
    <row r="56" spans="1:7" ht="49.9" customHeight="1">
      <c r="A56" s="10" t="s">
        <v>210</v>
      </c>
      <c r="B56" s="59">
        <v>9930051200</v>
      </c>
      <c r="C56" s="59"/>
      <c r="D56" s="31" t="s">
        <v>213</v>
      </c>
      <c r="E56" s="21">
        <f>E57</f>
        <v>145</v>
      </c>
      <c r="F56" s="21">
        <f t="shared" si="19"/>
        <v>9.5</v>
      </c>
      <c r="G56" s="21">
        <f t="shared" si="19"/>
        <v>15.7</v>
      </c>
    </row>
    <row r="57" spans="1:7" ht="31.5" customHeight="1">
      <c r="A57" s="10" t="s">
        <v>210</v>
      </c>
      <c r="B57" s="59">
        <v>9930051200</v>
      </c>
      <c r="C57" s="59" t="s">
        <v>75</v>
      </c>
      <c r="D57" s="31" t="s">
        <v>110</v>
      </c>
      <c r="E57" s="21">
        <f>E58</f>
        <v>145</v>
      </c>
      <c r="F57" s="21">
        <f t="shared" si="19"/>
        <v>9.5</v>
      </c>
      <c r="G57" s="21">
        <f t="shared" si="19"/>
        <v>15.7</v>
      </c>
    </row>
    <row r="58" spans="1:7" ht="31.9" customHeight="1">
      <c r="A58" s="10" t="s">
        <v>210</v>
      </c>
      <c r="B58" s="59">
        <v>9930051200</v>
      </c>
      <c r="C58" s="59">
        <v>240</v>
      </c>
      <c r="D58" s="199" t="s">
        <v>469</v>
      </c>
      <c r="E58" s="21">
        <f>'№4 '!F42</f>
        <v>145</v>
      </c>
      <c r="F58" s="21">
        <f>'№4 '!G42</f>
        <v>9.5</v>
      </c>
      <c r="G58" s="21">
        <f>'№4 '!H42</f>
        <v>15.7</v>
      </c>
    </row>
    <row r="59" spans="1:7" ht="37.15" customHeight="1">
      <c r="A59" s="59" t="s">
        <v>51</v>
      </c>
      <c r="B59" s="59" t="s">
        <v>72</v>
      </c>
      <c r="C59" s="59" t="s">
        <v>72</v>
      </c>
      <c r="D59" s="31" t="s">
        <v>11</v>
      </c>
      <c r="E59" s="21">
        <f>E60</f>
        <v>7059.8</v>
      </c>
      <c r="F59" s="21">
        <f aca="true" t="shared" si="20" ref="F59:G62">F60</f>
        <v>6252.599999999999</v>
      </c>
      <c r="G59" s="21">
        <f t="shared" si="20"/>
        <v>6252.599999999999</v>
      </c>
    </row>
    <row r="60" spans="1:7" ht="12.75">
      <c r="A60" s="59" t="s">
        <v>51</v>
      </c>
      <c r="B60" s="59">
        <v>9900000000</v>
      </c>
      <c r="C60" s="59"/>
      <c r="D60" s="31" t="s">
        <v>131</v>
      </c>
      <c r="E60" s="21">
        <f>E61</f>
        <v>7059.8</v>
      </c>
      <c r="F60" s="21">
        <f t="shared" si="20"/>
        <v>6252.599999999999</v>
      </c>
      <c r="G60" s="21">
        <f t="shared" si="20"/>
        <v>6252.599999999999</v>
      </c>
    </row>
    <row r="61" spans="1:7" ht="31.5">
      <c r="A61" s="59" t="s">
        <v>51</v>
      </c>
      <c r="B61" s="59">
        <v>9990000000</v>
      </c>
      <c r="C61" s="59"/>
      <c r="D61" s="31" t="s">
        <v>199</v>
      </c>
      <c r="E61" s="21">
        <f>E62</f>
        <v>7059.8</v>
      </c>
      <c r="F61" s="21">
        <f t="shared" si="20"/>
        <v>6252.599999999999</v>
      </c>
      <c r="G61" s="21">
        <f t="shared" si="20"/>
        <v>6252.599999999999</v>
      </c>
    </row>
    <row r="62" spans="1:7" ht="31.5">
      <c r="A62" s="59" t="s">
        <v>51</v>
      </c>
      <c r="B62" s="59">
        <v>9990200000</v>
      </c>
      <c r="C62" s="31"/>
      <c r="D62" s="31" t="s">
        <v>145</v>
      </c>
      <c r="E62" s="21">
        <f>E63</f>
        <v>7059.8</v>
      </c>
      <c r="F62" s="21">
        <f t="shared" si="20"/>
        <v>6252.599999999999</v>
      </c>
      <c r="G62" s="21">
        <f t="shared" si="20"/>
        <v>6252.599999999999</v>
      </c>
    </row>
    <row r="63" spans="1:7" ht="47.25">
      <c r="A63" s="59" t="s">
        <v>51</v>
      </c>
      <c r="B63" s="59">
        <v>9990225000</v>
      </c>
      <c r="C63" s="59"/>
      <c r="D63" s="31" t="s">
        <v>146</v>
      </c>
      <c r="E63" s="21">
        <f>E64+E66+E68</f>
        <v>7059.8</v>
      </c>
      <c r="F63" s="21">
        <f aca="true" t="shared" si="21" ref="F63:G63">F64+F66+F68</f>
        <v>6252.599999999999</v>
      </c>
      <c r="G63" s="21">
        <f t="shared" si="21"/>
        <v>6252.599999999999</v>
      </c>
    </row>
    <row r="64" spans="1:7" ht="63">
      <c r="A64" s="59" t="s">
        <v>51</v>
      </c>
      <c r="B64" s="59">
        <v>9990225000</v>
      </c>
      <c r="C64" s="59" t="s">
        <v>74</v>
      </c>
      <c r="D64" s="31" t="s">
        <v>2</v>
      </c>
      <c r="E64" s="21">
        <f>E65</f>
        <v>6692.6</v>
      </c>
      <c r="F64" s="21">
        <f aca="true" t="shared" si="22" ref="F64:G64">F65</f>
        <v>6252.599999999999</v>
      </c>
      <c r="G64" s="21">
        <f t="shared" si="22"/>
        <v>6252.599999999999</v>
      </c>
    </row>
    <row r="65" spans="1:7" ht="33.6" customHeight="1">
      <c r="A65" s="59" t="s">
        <v>51</v>
      </c>
      <c r="B65" s="59">
        <v>9990225000</v>
      </c>
      <c r="C65" s="59">
        <v>120</v>
      </c>
      <c r="D65" s="31" t="s">
        <v>471</v>
      </c>
      <c r="E65" s="21">
        <f>'№4 '!F490</f>
        <v>6692.6</v>
      </c>
      <c r="F65" s="21">
        <f>'№4 '!G490</f>
        <v>6252.599999999999</v>
      </c>
      <c r="G65" s="21">
        <f>'№4 '!H490</f>
        <v>6252.599999999999</v>
      </c>
    </row>
    <row r="66" spans="1:7" ht="31.5">
      <c r="A66" s="59" t="s">
        <v>51</v>
      </c>
      <c r="B66" s="59">
        <v>9990225000</v>
      </c>
      <c r="C66" s="59" t="s">
        <v>75</v>
      </c>
      <c r="D66" s="31" t="s">
        <v>110</v>
      </c>
      <c r="E66" s="21">
        <f>E67</f>
        <v>303.2</v>
      </c>
      <c r="F66" s="21">
        <f aca="true" t="shared" si="23" ref="F66:G66">F67</f>
        <v>0</v>
      </c>
      <c r="G66" s="21">
        <f t="shared" si="23"/>
        <v>0</v>
      </c>
    </row>
    <row r="67" spans="1:7" ht="31.9" customHeight="1">
      <c r="A67" s="59" t="s">
        <v>51</v>
      </c>
      <c r="B67" s="59">
        <v>9990225000</v>
      </c>
      <c r="C67" s="59">
        <v>240</v>
      </c>
      <c r="D67" s="199" t="s">
        <v>469</v>
      </c>
      <c r="E67" s="21">
        <f>'№4 '!F492</f>
        <v>303.2</v>
      </c>
      <c r="F67" s="21">
        <f>'№4 '!G492</f>
        <v>0</v>
      </c>
      <c r="G67" s="21">
        <f>'№4 '!H492</f>
        <v>0</v>
      </c>
    </row>
    <row r="68" spans="1:7" ht="12.75">
      <c r="A68" s="59" t="s">
        <v>51</v>
      </c>
      <c r="B68" s="59">
        <v>9990225000</v>
      </c>
      <c r="C68" s="59" t="s">
        <v>76</v>
      </c>
      <c r="D68" s="31" t="s">
        <v>77</v>
      </c>
      <c r="E68" s="21">
        <f>E69</f>
        <v>64</v>
      </c>
      <c r="F68" s="21">
        <f aca="true" t="shared" si="24" ref="F68:G68">F69</f>
        <v>0</v>
      </c>
      <c r="G68" s="21">
        <f t="shared" si="24"/>
        <v>0</v>
      </c>
    </row>
    <row r="69" spans="1:7" ht="12.75">
      <c r="A69" s="59" t="s">
        <v>51</v>
      </c>
      <c r="B69" s="59">
        <v>9990225000</v>
      </c>
      <c r="C69" s="59">
        <v>850</v>
      </c>
      <c r="D69" s="31" t="s">
        <v>126</v>
      </c>
      <c r="E69" s="21">
        <f>'№4 '!F494</f>
        <v>64</v>
      </c>
      <c r="F69" s="21">
        <f>'№4 '!G494</f>
        <v>0</v>
      </c>
      <c r="G69" s="21">
        <f>'№4 '!H494</f>
        <v>0</v>
      </c>
    </row>
    <row r="70" spans="1:7" ht="12.75">
      <c r="A70" s="29" t="s">
        <v>304</v>
      </c>
      <c r="B70" s="59"/>
      <c r="C70" s="59"/>
      <c r="D70" s="15" t="s">
        <v>305</v>
      </c>
      <c r="E70" s="21">
        <f aca="true" t="shared" si="25" ref="E70:E75">E71</f>
        <v>88.6</v>
      </c>
      <c r="F70" s="21">
        <f aca="true" t="shared" si="26" ref="F70:G75">F71</f>
        <v>88.6</v>
      </c>
      <c r="G70" s="21">
        <f t="shared" si="26"/>
        <v>88.6</v>
      </c>
    </row>
    <row r="71" spans="1:7" ht="47.25">
      <c r="A71" s="10" t="s">
        <v>304</v>
      </c>
      <c r="B71" s="61">
        <v>1200000000</v>
      </c>
      <c r="C71" s="59"/>
      <c r="D71" s="60" t="s">
        <v>242</v>
      </c>
      <c r="E71" s="21">
        <f t="shared" si="25"/>
        <v>88.6</v>
      </c>
      <c r="F71" s="21">
        <f t="shared" si="26"/>
        <v>88.6</v>
      </c>
      <c r="G71" s="21">
        <f t="shared" si="26"/>
        <v>88.6</v>
      </c>
    </row>
    <row r="72" spans="1:7" ht="31.5">
      <c r="A72" s="10" t="s">
        <v>304</v>
      </c>
      <c r="B72" s="59">
        <v>1240000000</v>
      </c>
      <c r="C72" s="59"/>
      <c r="D72" s="60" t="s">
        <v>171</v>
      </c>
      <c r="E72" s="21">
        <f t="shared" si="25"/>
        <v>88.6</v>
      </c>
      <c r="F72" s="21">
        <f t="shared" si="26"/>
        <v>88.6</v>
      </c>
      <c r="G72" s="21">
        <f t="shared" si="26"/>
        <v>88.6</v>
      </c>
    </row>
    <row r="73" spans="1:7" ht="31.5">
      <c r="A73" s="29" t="s">
        <v>304</v>
      </c>
      <c r="B73" s="59">
        <v>1240500000</v>
      </c>
      <c r="C73" s="59"/>
      <c r="D73" s="60" t="s">
        <v>172</v>
      </c>
      <c r="E73" s="21">
        <f t="shared" si="25"/>
        <v>88.6</v>
      </c>
      <c r="F73" s="21">
        <f t="shared" si="26"/>
        <v>88.6</v>
      </c>
      <c r="G73" s="21">
        <f t="shared" si="26"/>
        <v>88.6</v>
      </c>
    </row>
    <row r="74" spans="1:7" ht="31.5">
      <c r="A74" s="10" t="s">
        <v>304</v>
      </c>
      <c r="B74" s="59">
        <v>1240520410</v>
      </c>
      <c r="C74" s="59"/>
      <c r="D74" s="60" t="s">
        <v>284</v>
      </c>
      <c r="E74" s="21">
        <f t="shared" si="25"/>
        <v>88.6</v>
      </c>
      <c r="F74" s="21">
        <f t="shared" si="26"/>
        <v>88.6</v>
      </c>
      <c r="G74" s="21">
        <f t="shared" si="26"/>
        <v>88.6</v>
      </c>
    </row>
    <row r="75" spans="1:7" ht="12.75">
      <c r="A75" s="10" t="s">
        <v>304</v>
      </c>
      <c r="B75" s="59">
        <v>1240520410</v>
      </c>
      <c r="C75" s="59" t="s">
        <v>76</v>
      </c>
      <c r="D75" s="60" t="s">
        <v>77</v>
      </c>
      <c r="E75" s="21">
        <f t="shared" si="25"/>
        <v>88.6</v>
      </c>
      <c r="F75" s="21">
        <f t="shared" si="26"/>
        <v>88.6</v>
      </c>
      <c r="G75" s="21">
        <f t="shared" si="26"/>
        <v>88.6</v>
      </c>
    </row>
    <row r="76" spans="1:7" ht="34.15" customHeight="1">
      <c r="A76" s="10" t="s">
        <v>304</v>
      </c>
      <c r="B76" s="59">
        <v>1240520410</v>
      </c>
      <c r="C76" s="59">
        <v>860</v>
      </c>
      <c r="D76" s="60" t="s">
        <v>472</v>
      </c>
      <c r="E76" s="21">
        <f>'№4 '!F49</f>
        <v>88.6</v>
      </c>
      <c r="F76" s="21">
        <f>'№4 '!G49</f>
        <v>88.6</v>
      </c>
      <c r="G76" s="21">
        <f>'№4 '!H49</f>
        <v>88.6</v>
      </c>
    </row>
    <row r="77" spans="1:7" ht="12.75">
      <c r="A77" s="59" t="s">
        <v>52</v>
      </c>
      <c r="B77" s="59"/>
      <c r="C77" s="59"/>
      <c r="D77" s="31" t="s">
        <v>12</v>
      </c>
      <c r="E77" s="21">
        <f>E78</f>
        <v>1000</v>
      </c>
      <c r="F77" s="21">
        <f aca="true" t="shared" si="27" ref="F77:G81">F78</f>
        <v>900</v>
      </c>
      <c r="G77" s="21">
        <f t="shared" si="27"/>
        <v>800</v>
      </c>
    </row>
    <row r="78" spans="1:7" ht="12.75">
      <c r="A78" s="59" t="s">
        <v>52</v>
      </c>
      <c r="B78" s="59">
        <v>9900000000</v>
      </c>
      <c r="C78" s="59"/>
      <c r="D78" s="31" t="s">
        <v>131</v>
      </c>
      <c r="E78" s="21">
        <f>E79</f>
        <v>1000</v>
      </c>
      <c r="F78" s="21">
        <f t="shared" si="27"/>
        <v>900</v>
      </c>
      <c r="G78" s="21">
        <f t="shared" si="27"/>
        <v>800</v>
      </c>
    </row>
    <row r="79" spans="1:7" ht="12.75">
      <c r="A79" s="59" t="s">
        <v>52</v>
      </c>
      <c r="B79" s="59">
        <v>9910000000</v>
      </c>
      <c r="C79" s="59"/>
      <c r="D79" s="31" t="s">
        <v>12</v>
      </c>
      <c r="E79" s="21">
        <f>E80</f>
        <v>1000</v>
      </c>
      <c r="F79" s="21">
        <f t="shared" si="27"/>
        <v>900</v>
      </c>
      <c r="G79" s="21">
        <f t="shared" si="27"/>
        <v>800</v>
      </c>
    </row>
    <row r="80" spans="1:7" ht="31.5">
      <c r="A80" s="59" t="s">
        <v>52</v>
      </c>
      <c r="B80" s="59">
        <v>9910020000</v>
      </c>
      <c r="C80" s="59"/>
      <c r="D80" s="31" t="s">
        <v>217</v>
      </c>
      <c r="E80" s="21">
        <f>E81</f>
        <v>1000</v>
      </c>
      <c r="F80" s="21">
        <f t="shared" si="27"/>
        <v>900</v>
      </c>
      <c r="G80" s="21">
        <f t="shared" si="27"/>
        <v>800</v>
      </c>
    </row>
    <row r="81" spans="1:7" ht="12.75">
      <c r="A81" s="59" t="s">
        <v>52</v>
      </c>
      <c r="B81" s="59">
        <v>9910020000</v>
      </c>
      <c r="C81" s="61" t="s">
        <v>76</v>
      </c>
      <c r="D81" s="60" t="s">
        <v>77</v>
      </c>
      <c r="E81" s="21">
        <f>E82</f>
        <v>1000</v>
      </c>
      <c r="F81" s="21">
        <f t="shared" si="27"/>
        <v>900</v>
      </c>
      <c r="G81" s="21">
        <f t="shared" si="27"/>
        <v>800</v>
      </c>
    </row>
    <row r="82" spans="1:7" ht="12.75">
      <c r="A82" s="59" t="s">
        <v>52</v>
      </c>
      <c r="B82" s="59">
        <v>9910020000</v>
      </c>
      <c r="C82" s="3" t="s">
        <v>218</v>
      </c>
      <c r="D82" s="22" t="s">
        <v>219</v>
      </c>
      <c r="E82" s="21">
        <f>'№4 '!F500</f>
        <v>1000</v>
      </c>
      <c r="F82" s="21">
        <f>'№4 '!G500</f>
        <v>900</v>
      </c>
      <c r="G82" s="21">
        <f>'№4 '!H500</f>
        <v>800</v>
      </c>
    </row>
    <row r="83" spans="1:7" ht="12.75">
      <c r="A83" s="62" t="s">
        <v>66</v>
      </c>
      <c r="B83" s="62" t="s">
        <v>72</v>
      </c>
      <c r="C83" s="62" t="s">
        <v>72</v>
      </c>
      <c r="D83" s="15" t="s">
        <v>28</v>
      </c>
      <c r="E83" s="8">
        <f>E84+E99+E105+E135</f>
        <v>32990.5</v>
      </c>
      <c r="F83" s="8">
        <f>F84+F99+F105+F135</f>
        <v>39909.5</v>
      </c>
      <c r="G83" s="8">
        <f>G84+G99+G105+G135</f>
        <v>39909.5</v>
      </c>
    </row>
    <row r="84" spans="1:7" ht="47.25">
      <c r="A84" s="59" t="s">
        <v>66</v>
      </c>
      <c r="B84" s="61">
        <v>1200000000</v>
      </c>
      <c r="C84" s="59"/>
      <c r="D84" s="31" t="s">
        <v>242</v>
      </c>
      <c r="E84" s="21">
        <f>E85</f>
        <v>706.5</v>
      </c>
      <c r="F84" s="21">
        <f aca="true" t="shared" si="28" ref="F84:G84">F85</f>
        <v>682.5</v>
      </c>
      <c r="G84" s="21">
        <f t="shared" si="28"/>
        <v>682.5</v>
      </c>
    </row>
    <row r="85" spans="1:7" ht="31.5">
      <c r="A85" s="59" t="s">
        <v>66</v>
      </c>
      <c r="B85" s="59">
        <v>1240000000</v>
      </c>
      <c r="C85" s="59"/>
      <c r="D85" s="31" t="s">
        <v>171</v>
      </c>
      <c r="E85" s="21">
        <f>E86+E92</f>
        <v>706.5</v>
      </c>
      <c r="F85" s="21">
        <f aca="true" t="shared" si="29" ref="F85:G85">F86+F92</f>
        <v>682.5</v>
      </c>
      <c r="G85" s="21">
        <f t="shared" si="29"/>
        <v>682.5</v>
      </c>
    </row>
    <row r="86" spans="1:7" ht="31.5">
      <c r="A86" s="59" t="s">
        <v>66</v>
      </c>
      <c r="B86" s="59">
        <v>1240200000</v>
      </c>
      <c r="C86" s="59"/>
      <c r="D86" s="31" t="s">
        <v>192</v>
      </c>
      <c r="E86" s="21">
        <f>E87</f>
        <v>62.4</v>
      </c>
      <c r="F86" s="21">
        <f aca="true" t="shared" si="30" ref="F86:G86">F87</f>
        <v>62.4</v>
      </c>
      <c r="G86" s="21">
        <f t="shared" si="30"/>
        <v>62.4</v>
      </c>
    </row>
    <row r="87" spans="1:7" ht="12.75">
      <c r="A87" s="59" t="s">
        <v>66</v>
      </c>
      <c r="B87" s="59">
        <v>1240220340</v>
      </c>
      <c r="C87" s="59"/>
      <c r="D87" s="31" t="s">
        <v>203</v>
      </c>
      <c r="E87" s="21">
        <f>E88+E90</f>
        <v>62.4</v>
      </c>
      <c r="F87" s="21">
        <f aca="true" t="shared" si="31" ref="F87:G87">F88+F90</f>
        <v>62.4</v>
      </c>
      <c r="G87" s="21">
        <f t="shared" si="31"/>
        <v>62.4</v>
      </c>
    </row>
    <row r="88" spans="1:7" ht="31.5">
      <c r="A88" s="59" t="s">
        <v>66</v>
      </c>
      <c r="B88" s="59">
        <v>1240220340</v>
      </c>
      <c r="C88" s="61" t="s">
        <v>75</v>
      </c>
      <c r="D88" s="60" t="s">
        <v>110</v>
      </c>
      <c r="E88" s="21">
        <f>E89</f>
        <v>47.4</v>
      </c>
      <c r="F88" s="21">
        <f aca="true" t="shared" si="32" ref="F88:G88">F89</f>
        <v>47.4</v>
      </c>
      <c r="G88" s="21">
        <f t="shared" si="32"/>
        <v>47.4</v>
      </c>
    </row>
    <row r="89" spans="1:7" ht="33" customHeight="1">
      <c r="A89" s="59" t="s">
        <v>66</v>
      </c>
      <c r="B89" s="59">
        <v>1240220340</v>
      </c>
      <c r="C89" s="59">
        <v>240</v>
      </c>
      <c r="D89" s="199" t="s">
        <v>469</v>
      </c>
      <c r="E89" s="21">
        <f>'№4 '!F56</f>
        <v>47.4</v>
      </c>
      <c r="F89" s="21">
        <f>'№4 '!G56</f>
        <v>47.4</v>
      </c>
      <c r="G89" s="21">
        <f>'№4 '!H56</f>
        <v>47.4</v>
      </c>
    </row>
    <row r="90" spans="1:7" ht="12.75">
      <c r="A90" s="59" t="s">
        <v>66</v>
      </c>
      <c r="B90" s="59">
        <v>1240220340</v>
      </c>
      <c r="C90" s="61" t="s">
        <v>79</v>
      </c>
      <c r="D90" s="60" t="s">
        <v>80</v>
      </c>
      <c r="E90" s="21">
        <f>E91</f>
        <v>15</v>
      </c>
      <c r="F90" s="21">
        <f aca="true" t="shared" si="33" ref="F90:G90">F91</f>
        <v>15</v>
      </c>
      <c r="G90" s="21">
        <f t="shared" si="33"/>
        <v>15</v>
      </c>
    </row>
    <row r="91" spans="1:7" ht="12.75">
      <c r="A91" s="59" t="s">
        <v>66</v>
      </c>
      <c r="B91" s="59">
        <v>1240220340</v>
      </c>
      <c r="C91" s="59">
        <v>350</v>
      </c>
      <c r="D91" s="22" t="s">
        <v>204</v>
      </c>
      <c r="E91" s="21">
        <f>'№4 '!F58</f>
        <v>15</v>
      </c>
      <c r="F91" s="21">
        <f>'№4 '!G58</f>
        <v>15</v>
      </c>
      <c r="G91" s="21">
        <f>'№4 '!H58</f>
        <v>15</v>
      </c>
    </row>
    <row r="92" spans="1:7" ht="31.5">
      <c r="A92" s="59" t="s">
        <v>66</v>
      </c>
      <c r="B92" s="59">
        <v>1240500000</v>
      </c>
      <c r="C92" s="59"/>
      <c r="D92" s="31" t="s">
        <v>172</v>
      </c>
      <c r="E92" s="21">
        <f>E93+E96</f>
        <v>644.1</v>
      </c>
      <c r="F92" s="21">
        <f aca="true" t="shared" si="34" ref="F92:G92">F93+F96</f>
        <v>620.1</v>
      </c>
      <c r="G92" s="21">
        <f t="shared" si="34"/>
        <v>620.1</v>
      </c>
    </row>
    <row r="93" spans="1:7" ht="31.5">
      <c r="A93" s="59" t="s">
        <v>66</v>
      </c>
      <c r="B93" s="59">
        <v>1240520410</v>
      </c>
      <c r="C93" s="59"/>
      <c r="D93" s="31" t="s">
        <v>284</v>
      </c>
      <c r="E93" s="21">
        <f>E94</f>
        <v>128.70000000000002</v>
      </c>
      <c r="F93" s="21">
        <f aca="true" t="shared" si="35" ref="F93:G94">F94</f>
        <v>104.70000000000002</v>
      </c>
      <c r="G93" s="21">
        <f t="shared" si="35"/>
        <v>104.70000000000002</v>
      </c>
    </row>
    <row r="94" spans="1:7" ht="12.75">
      <c r="A94" s="59" t="s">
        <v>66</v>
      </c>
      <c r="B94" s="59">
        <v>1240520410</v>
      </c>
      <c r="C94" s="59" t="s">
        <v>76</v>
      </c>
      <c r="D94" s="31" t="s">
        <v>77</v>
      </c>
      <c r="E94" s="21">
        <f>E95</f>
        <v>128.70000000000002</v>
      </c>
      <c r="F94" s="21">
        <f t="shared" si="35"/>
        <v>104.70000000000002</v>
      </c>
      <c r="G94" s="21">
        <f t="shared" si="35"/>
        <v>104.70000000000002</v>
      </c>
    </row>
    <row r="95" spans="1:7" ht="12.75">
      <c r="A95" s="59" t="s">
        <v>66</v>
      </c>
      <c r="B95" s="59">
        <v>1240520410</v>
      </c>
      <c r="C95" s="59">
        <v>850</v>
      </c>
      <c r="D95" s="31" t="s">
        <v>126</v>
      </c>
      <c r="E95" s="21">
        <f>'№4 '!F62</f>
        <v>128.70000000000002</v>
      </c>
      <c r="F95" s="21">
        <f>'№4 '!G62</f>
        <v>104.70000000000002</v>
      </c>
      <c r="G95" s="21">
        <f>'№4 '!H62</f>
        <v>104.70000000000002</v>
      </c>
    </row>
    <row r="96" spans="1:7" ht="31.5">
      <c r="A96" s="59" t="s">
        <v>66</v>
      </c>
      <c r="B96" s="59">
        <v>1240520460</v>
      </c>
      <c r="C96" s="59"/>
      <c r="D96" s="31" t="s">
        <v>310</v>
      </c>
      <c r="E96" s="21">
        <f>E97</f>
        <v>515.4</v>
      </c>
      <c r="F96" s="21">
        <f aca="true" t="shared" si="36" ref="F96:G97">F97</f>
        <v>515.4</v>
      </c>
      <c r="G96" s="21">
        <f t="shared" si="36"/>
        <v>515.4</v>
      </c>
    </row>
    <row r="97" spans="1:7" ht="31.5">
      <c r="A97" s="59" t="s">
        <v>66</v>
      </c>
      <c r="B97" s="59">
        <v>1240520460</v>
      </c>
      <c r="C97" s="61" t="s">
        <v>75</v>
      </c>
      <c r="D97" s="60" t="s">
        <v>110</v>
      </c>
      <c r="E97" s="21">
        <f>E98</f>
        <v>515.4</v>
      </c>
      <c r="F97" s="21">
        <f t="shared" si="36"/>
        <v>515.4</v>
      </c>
      <c r="G97" s="21">
        <f t="shared" si="36"/>
        <v>515.4</v>
      </c>
    </row>
    <row r="98" spans="1:7" ht="34.15" customHeight="1">
      <c r="A98" s="59" t="s">
        <v>66</v>
      </c>
      <c r="B98" s="59">
        <v>1240520460</v>
      </c>
      <c r="C98" s="59">
        <v>240</v>
      </c>
      <c r="D98" s="199" t="s">
        <v>469</v>
      </c>
      <c r="E98" s="21">
        <f>'№4 '!F65</f>
        <v>515.4</v>
      </c>
      <c r="F98" s="21">
        <f>'№4 '!G65</f>
        <v>515.4</v>
      </c>
      <c r="G98" s="21">
        <f>'№4 '!H65</f>
        <v>515.4</v>
      </c>
    </row>
    <row r="99" spans="1:7" ht="31.5">
      <c r="A99" s="59" t="s">
        <v>66</v>
      </c>
      <c r="B99" s="61">
        <v>1500000000</v>
      </c>
      <c r="C99" s="59"/>
      <c r="D99" s="31" t="s">
        <v>243</v>
      </c>
      <c r="E99" s="21">
        <f>E100</f>
        <v>109.2</v>
      </c>
      <c r="F99" s="21">
        <f aca="true" t="shared" si="37" ref="F99:G103">F100</f>
        <v>111.4</v>
      </c>
      <c r="G99" s="21">
        <f t="shared" si="37"/>
        <v>111.4</v>
      </c>
    </row>
    <row r="100" spans="1:7" ht="12.75">
      <c r="A100" s="59" t="s">
        <v>66</v>
      </c>
      <c r="B100" s="59">
        <v>1510000000</v>
      </c>
      <c r="C100" s="59"/>
      <c r="D100" s="31" t="s">
        <v>206</v>
      </c>
      <c r="E100" s="21">
        <f>E101</f>
        <v>109.2</v>
      </c>
      <c r="F100" s="21">
        <f t="shared" si="37"/>
        <v>111.4</v>
      </c>
      <c r="G100" s="21">
        <f t="shared" si="37"/>
        <v>111.4</v>
      </c>
    </row>
    <row r="101" spans="1:7" ht="47.25">
      <c r="A101" s="59" t="s">
        <v>66</v>
      </c>
      <c r="B101" s="59">
        <v>1510200000</v>
      </c>
      <c r="C101" s="59"/>
      <c r="D101" s="31" t="s">
        <v>244</v>
      </c>
      <c r="E101" s="21">
        <f>E102</f>
        <v>109.2</v>
      </c>
      <c r="F101" s="21">
        <f t="shared" si="37"/>
        <v>111.4</v>
      </c>
      <c r="G101" s="21">
        <f t="shared" si="37"/>
        <v>111.4</v>
      </c>
    </row>
    <row r="102" spans="1:7" ht="31.5">
      <c r="A102" s="59" t="s">
        <v>66</v>
      </c>
      <c r="B102" s="59">
        <v>1510220170</v>
      </c>
      <c r="C102" s="59"/>
      <c r="D102" s="31" t="s">
        <v>245</v>
      </c>
      <c r="E102" s="21">
        <f>E103</f>
        <v>109.2</v>
      </c>
      <c r="F102" s="21">
        <f t="shared" si="37"/>
        <v>111.4</v>
      </c>
      <c r="G102" s="21">
        <f t="shared" si="37"/>
        <v>111.4</v>
      </c>
    </row>
    <row r="103" spans="1:7" ht="12.75">
      <c r="A103" s="59" t="s">
        <v>66</v>
      </c>
      <c r="B103" s="59">
        <v>1510220170</v>
      </c>
      <c r="C103" s="61" t="s">
        <v>79</v>
      </c>
      <c r="D103" s="60" t="s">
        <v>80</v>
      </c>
      <c r="E103" s="21">
        <f>E104</f>
        <v>109.2</v>
      </c>
      <c r="F103" s="21">
        <f t="shared" si="37"/>
        <v>111.4</v>
      </c>
      <c r="G103" s="21">
        <f t="shared" si="37"/>
        <v>111.4</v>
      </c>
    </row>
    <row r="104" spans="1:7" ht="12.75">
      <c r="A104" s="59" t="s">
        <v>66</v>
      </c>
      <c r="B104" s="59">
        <v>1510220170</v>
      </c>
      <c r="C104" s="1" t="s">
        <v>208</v>
      </c>
      <c r="D104" s="23" t="s">
        <v>207</v>
      </c>
      <c r="E104" s="21">
        <f>'№4 '!F71</f>
        <v>109.2</v>
      </c>
      <c r="F104" s="21">
        <f>'№4 '!G71</f>
        <v>111.4</v>
      </c>
      <c r="G104" s="21">
        <f>'№4 '!H71</f>
        <v>111.4</v>
      </c>
    </row>
    <row r="105" spans="1:7" ht="47.25">
      <c r="A105" s="61" t="s">
        <v>66</v>
      </c>
      <c r="B105" s="61">
        <v>1600000000</v>
      </c>
      <c r="C105" s="61"/>
      <c r="D105" s="60" t="s">
        <v>140</v>
      </c>
      <c r="E105" s="21">
        <f>E106+E118+E130</f>
        <v>5334.5</v>
      </c>
      <c r="F105" s="21">
        <f>F106+F118+F130</f>
        <v>4867.7</v>
      </c>
      <c r="G105" s="21">
        <f>G106+G118+G130</f>
        <v>4867.7</v>
      </c>
    </row>
    <row r="106" spans="1:7" ht="31.5">
      <c r="A106" s="61" t="s">
        <v>66</v>
      </c>
      <c r="B106" s="61">
        <v>1620000000</v>
      </c>
      <c r="C106" s="61"/>
      <c r="D106" s="60" t="s">
        <v>133</v>
      </c>
      <c r="E106" s="21">
        <f>E107+E114</f>
        <v>3427.4999999999995</v>
      </c>
      <c r="F106" s="21">
        <f aca="true" t="shared" si="38" ref="F106:G106">F107+F114</f>
        <v>2330.2</v>
      </c>
      <c r="G106" s="21">
        <f t="shared" si="38"/>
        <v>2330.2</v>
      </c>
    </row>
    <row r="107" spans="1:7" ht="12.75">
      <c r="A107" s="61" t="s">
        <v>66</v>
      </c>
      <c r="B107" s="61">
        <v>1620100000</v>
      </c>
      <c r="C107" s="61"/>
      <c r="D107" s="60" t="s">
        <v>134</v>
      </c>
      <c r="E107" s="21">
        <f>E108+E111</f>
        <v>3167.4999999999995</v>
      </c>
      <c r="F107" s="21">
        <f aca="true" t="shared" si="39" ref="F107:G107">F108+F111</f>
        <v>2330.2</v>
      </c>
      <c r="G107" s="21">
        <f t="shared" si="39"/>
        <v>2330.2</v>
      </c>
    </row>
    <row r="108" spans="1:7" ht="12.75">
      <c r="A108" s="61" t="s">
        <v>66</v>
      </c>
      <c r="B108" s="61">
        <v>1620120210</v>
      </c>
      <c r="C108" s="25"/>
      <c r="D108" s="60" t="s">
        <v>135</v>
      </c>
      <c r="E108" s="21">
        <f>E109</f>
        <v>2959.4999999999995</v>
      </c>
      <c r="F108" s="21">
        <f aca="true" t="shared" si="40" ref="F108:G108">F109</f>
        <v>2122.2</v>
      </c>
      <c r="G108" s="21">
        <f t="shared" si="40"/>
        <v>2122.2</v>
      </c>
    </row>
    <row r="109" spans="1:7" ht="31.5">
      <c r="A109" s="61" t="s">
        <v>66</v>
      </c>
      <c r="B109" s="61">
        <v>1620120210</v>
      </c>
      <c r="C109" s="61" t="s">
        <v>75</v>
      </c>
      <c r="D109" s="60" t="s">
        <v>110</v>
      </c>
      <c r="E109" s="21">
        <f>'№4 '!F77+'№4 '!F536</f>
        <v>2959.4999999999995</v>
      </c>
      <c r="F109" s="21">
        <f>'№4 '!G77+'№4 '!G536</f>
        <v>2122.2</v>
      </c>
      <c r="G109" s="21">
        <f>'№4 '!H77+'№4 '!H536</f>
        <v>2122.2</v>
      </c>
    </row>
    <row r="110" spans="1:7" ht="30" customHeight="1">
      <c r="A110" s="61" t="s">
        <v>66</v>
      </c>
      <c r="B110" s="61">
        <v>1620120210</v>
      </c>
      <c r="C110" s="59">
        <v>240</v>
      </c>
      <c r="D110" s="199" t="s">
        <v>469</v>
      </c>
      <c r="E110" s="21">
        <f>'№4 '!F77+'№4 '!F536</f>
        <v>2959.4999999999995</v>
      </c>
      <c r="F110" s="21">
        <f>'№4 '!G77+'№4 '!G536</f>
        <v>2122.2</v>
      </c>
      <c r="G110" s="21">
        <f>'№4 '!H77+'№4 '!H536</f>
        <v>2122.2</v>
      </c>
    </row>
    <row r="111" spans="1:7" ht="31.5">
      <c r="A111" s="61" t="s">
        <v>66</v>
      </c>
      <c r="B111" s="61">
        <v>1620120220</v>
      </c>
      <c r="C111" s="59"/>
      <c r="D111" s="60" t="s">
        <v>132</v>
      </c>
      <c r="E111" s="21">
        <f>E112</f>
        <v>208</v>
      </c>
      <c r="F111" s="21">
        <f aca="true" t="shared" si="41" ref="F111:G112">F112</f>
        <v>208</v>
      </c>
      <c r="G111" s="21">
        <f t="shared" si="41"/>
        <v>208</v>
      </c>
    </row>
    <row r="112" spans="1:7" ht="29.25" customHeight="1">
      <c r="A112" s="61" t="s">
        <v>66</v>
      </c>
      <c r="B112" s="61">
        <v>1620120220</v>
      </c>
      <c r="C112" s="61" t="s">
        <v>75</v>
      </c>
      <c r="D112" s="60" t="s">
        <v>110</v>
      </c>
      <c r="E112" s="21">
        <f>E113</f>
        <v>208</v>
      </c>
      <c r="F112" s="21">
        <f t="shared" si="41"/>
        <v>208</v>
      </c>
      <c r="G112" s="21">
        <f t="shared" si="41"/>
        <v>208</v>
      </c>
    </row>
    <row r="113" spans="1:7" ht="30.75" customHeight="1">
      <c r="A113" s="61" t="s">
        <v>66</v>
      </c>
      <c r="B113" s="61">
        <v>1620120220</v>
      </c>
      <c r="C113" s="59">
        <v>240</v>
      </c>
      <c r="D113" s="199" t="s">
        <v>469</v>
      </c>
      <c r="E113" s="21">
        <f>'№4 '!F537</f>
        <v>208</v>
      </c>
      <c r="F113" s="21">
        <f>'№4 '!G537</f>
        <v>208</v>
      </c>
      <c r="G113" s="21">
        <f>'№4 '!H537</f>
        <v>208</v>
      </c>
    </row>
    <row r="114" spans="1:7" ht="30" customHeight="1">
      <c r="A114" s="94" t="s">
        <v>66</v>
      </c>
      <c r="B114" s="94">
        <v>1620300000</v>
      </c>
      <c r="C114" s="94"/>
      <c r="D114" s="93" t="s">
        <v>374</v>
      </c>
      <c r="E114" s="21">
        <f>E115</f>
        <v>260</v>
      </c>
      <c r="F114" s="21">
        <f aca="true" t="shared" si="42" ref="F114:G116">F115</f>
        <v>0</v>
      </c>
      <c r="G114" s="21">
        <f t="shared" si="42"/>
        <v>0</v>
      </c>
    </row>
    <row r="115" spans="1:7" ht="30" customHeight="1">
      <c r="A115" s="94" t="s">
        <v>66</v>
      </c>
      <c r="B115" s="94">
        <v>1620320030</v>
      </c>
      <c r="C115" s="92"/>
      <c r="D115" s="93" t="s">
        <v>375</v>
      </c>
      <c r="E115" s="21">
        <f>E116</f>
        <v>260</v>
      </c>
      <c r="F115" s="21">
        <f t="shared" si="42"/>
        <v>0</v>
      </c>
      <c r="G115" s="21">
        <f t="shared" si="42"/>
        <v>0</v>
      </c>
    </row>
    <row r="116" spans="1:7" ht="32.25" customHeight="1">
      <c r="A116" s="94" t="s">
        <v>66</v>
      </c>
      <c r="B116" s="94">
        <v>1620320030</v>
      </c>
      <c r="C116" s="94" t="s">
        <v>75</v>
      </c>
      <c r="D116" s="93" t="s">
        <v>110</v>
      </c>
      <c r="E116" s="21">
        <f>E117</f>
        <v>260</v>
      </c>
      <c r="F116" s="21">
        <f t="shared" si="42"/>
        <v>0</v>
      </c>
      <c r="G116" s="21">
        <f t="shared" si="42"/>
        <v>0</v>
      </c>
    </row>
    <row r="117" spans="1:7" ht="32.25" customHeight="1">
      <c r="A117" s="94" t="s">
        <v>66</v>
      </c>
      <c r="B117" s="94">
        <v>1620320030</v>
      </c>
      <c r="C117" s="92">
        <v>240</v>
      </c>
      <c r="D117" s="199" t="s">
        <v>469</v>
      </c>
      <c r="E117" s="21">
        <f>'№4 '!F543</f>
        <v>260</v>
      </c>
      <c r="F117" s="21">
        <f>'№4 '!G543</f>
        <v>0</v>
      </c>
      <c r="G117" s="21">
        <f>'№4 '!H543</f>
        <v>0</v>
      </c>
    </row>
    <row r="118" spans="1:7" ht="47.25">
      <c r="A118" s="61" t="s">
        <v>66</v>
      </c>
      <c r="B118" s="61">
        <v>1630000000</v>
      </c>
      <c r="C118" s="59"/>
      <c r="D118" s="60" t="s">
        <v>286</v>
      </c>
      <c r="E118" s="21">
        <f>E119+E126</f>
        <v>1881</v>
      </c>
      <c r="F118" s="21">
        <f>F119+F126</f>
        <v>2511</v>
      </c>
      <c r="G118" s="21">
        <f>G119+G126</f>
        <v>2511</v>
      </c>
    </row>
    <row r="119" spans="1:7" ht="47.25">
      <c r="A119" s="61" t="s">
        <v>66</v>
      </c>
      <c r="B119" s="59">
        <v>1630100000</v>
      </c>
      <c r="C119" s="59"/>
      <c r="D119" s="31" t="s">
        <v>287</v>
      </c>
      <c r="E119" s="21">
        <f>E120+E123</f>
        <v>1737</v>
      </c>
      <c r="F119" s="21">
        <f aca="true" t="shared" si="43" ref="F119:G119">F120+F123</f>
        <v>2331</v>
      </c>
      <c r="G119" s="21">
        <f t="shared" si="43"/>
        <v>2331</v>
      </c>
    </row>
    <row r="120" spans="1:7" ht="31.15" customHeight="1">
      <c r="A120" s="59" t="s">
        <v>66</v>
      </c>
      <c r="B120" s="59">
        <v>1630120180</v>
      </c>
      <c r="C120" s="59"/>
      <c r="D120" s="31" t="s">
        <v>288</v>
      </c>
      <c r="E120" s="21">
        <f>E121</f>
        <v>1175</v>
      </c>
      <c r="F120" s="21">
        <f aca="true" t="shared" si="44" ref="F120:G121">F121</f>
        <v>1774.2</v>
      </c>
      <c r="G120" s="21">
        <f t="shared" si="44"/>
        <v>1774.2</v>
      </c>
    </row>
    <row r="121" spans="1:7" ht="32.25" customHeight="1">
      <c r="A121" s="61" t="s">
        <v>66</v>
      </c>
      <c r="B121" s="59">
        <v>1630120180</v>
      </c>
      <c r="C121" s="59" t="s">
        <v>75</v>
      </c>
      <c r="D121" s="31" t="s">
        <v>110</v>
      </c>
      <c r="E121" s="21">
        <f>E122</f>
        <v>1175</v>
      </c>
      <c r="F121" s="21">
        <f t="shared" si="44"/>
        <v>1774.2</v>
      </c>
      <c r="G121" s="21">
        <f t="shared" si="44"/>
        <v>1774.2</v>
      </c>
    </row>
    <row r="122" spans="1:7" ht="33" customHeight="1">
      <c r="A122" s="61" t="s">
        <v>66</v>
      </c>
      <c r="B122" s="59">
        <v>1630120180</v>
      </c>
      <c r="C122" s="59">
        <v>240</v>
      </c>
      <c r="D122" s="199" t="s">
        <v>469</v>
      </c>
      <c r="E122" s="21">
        <f>'№4 '!F82+'№4 '!F507+'№4 '!F684+'№4 '!F548</f>
        <v>1175</v>
      </c>
      <c r="F122" s="21">
        <f>'№4 '!G82+'№4 '!G507+'№4 '!G684+'№4 '!G548</f>
        <v>1774.2</v>
      </c>
      <c r="G122" s="21">
        <f>'№4 '!H82+'№4 '!H507+'№4 '!H684+'№4 '!H548</f>
        <v>1774.2</v>
      </c>
    </row>
    <row r="123" spans="1:7" ht="47.25">
      <c r="A123" s="59" t="s">
        <v>66</v>
      </c>
      <c r="B123" s="59">
        <v>1630120520</v>
      </c>
      <c r="C123" s="59"/>
      <c r="D123" s="31" t="s">
        <v>298</v>
      </c>
      <c r="E123" s="21">
        <f>E124</f>
        <v>562</v>
      </c>
      <c r="F123" s="21">
        <f aca="true" t="shared" si="45" ref="F123:G124">F124</f>
        <v>556.8</v>
      </c>
      <c r="G123" s="21">
        <f t="shared" si="45"/>
        <v>556.8</v>
      </c>
    </row>
    <row r="124" spans="1:7" ht="36" customHeight="1">
      <c r="A124" s="61" t="s">
        <v>66</v>
      </c>
      <c r="B124" s="59">
        <v>1630120520</v>
      </c>
      <c r="C124" s="59" t="s">
        <v>75</v>
      </c>
      <c r="D124" s="31" t="s">
        <v>110</v>
      </c>
      <c r="E124" s="21">
        <f>E125</f>
        <v>562</v>
      </c>
      <c r="F124" s="21">
        <f t="shared" si="45"/>
        <v>556.8</v>
      </c>
      <c r="G124" s="21">
        <f t="shared" si="45"/>
        <v>556.8</v>
      </c>
    </row>
    <row r="125" spans="1:7" ht="30.6" customHeight="1">
      <c r="A125" s="61" t="s">
        <v>66</v>
      </c>
      <c r="B125" s="59">
        <v>1630120520</v>
      </c>
      <c r="C125" s="59">
        <v>240</v>
      </c>
      <c r="D125" s="199" t="s">
        <v>469</v>
      </c>
      <c r="E125" s="21">
        <f>'№4 '!F85</f>
        <v>562</v>
      </c>
      <c r="F125" s="21">
        <f>'№4 '!G85</f>
        <v>556.8</v>
      </c>
      <c r="G125" s="21">
        <f>'№4 '!H85</f>
        <v>556.8</v>
      </c>
    </row>
    <row r="126" spans="1:7" ht="47.25">
      <c r="A126" s="59" t="s">
        <v>66</v>
      </c>
      <c r="B126" s="59">
        <v>1630200000</v>
      </c>
      <c r="C126" s="59"/>
      <c r="D126" s="31" t="s">
        <v>289</v>
      </c>
      <c r="E126" s="21">
        <f>E127</f>
        <v>144</v>
      </c>
      <c r="F126" s="21">
        <f aca="true" t="shared" si="46" ref="F126:G128">F127</f>
        <v>180</v>
      </c>
      <c r="G126" s="21">
        <f t="shared" si="46"/>
        <v>180</v>
      </c>
    </row>
    <row r="127" spans="1:7" ht="15.75" customHeight="1">
      <c r="A127" s="61" t="s">
        <v>66</v>
      </c>
      <c r="B127" s="59">
        <v>1630220530</v>
      </c>
      <c r="C127" s="59"/>
      <c r="D127" s="31" t="s">
        <v>290</v>
      </c>
      <c r="E127" s="21">
        <f>E128</f>
        <v>144</v>
      </c>
      <c r="F127" s="21">
        <f t="shared" si="46"/>
        <v>180</v>
      </c>
      <c r="G127" s="21">
        <f t="shared" si="46"/>
        <v>180</v>
      </c>
    </row>
    <row r="128" spans="1:7" ht="34.5" customHeight="1">
      <c r="A128" s="61" t="s">
        <v>66</v>
      </c>
      <c r="B128" s="59">
        <v>1630220530</v>
      </c>
      <c r="C128" s="59" t="s">
        <v>75</v>
      </c>
      <c r="D128" s="31" t="s">
        <v>110</v>
      </c>
      <c r="E128" s="21">
        <f>E129</f>
        <v>144</v>
      </c>
      <c r="F128" s="21">
        <f t="shared" si="46"/>
        <v>180</v>
      </c>
      <c r="G128" s="21">
        <f t="shared" si="46"/>
        <v>180</v>
      </c>
    </row>
    <row r="129" spans="1:7" ht="31.5">
      <c r="A129" s="59" t="s">
        <v>66</v>
      </c>
      <c r="B129" s="59">
        <v>1630220530</v>
      </c>
      <c r="C129" s="59">
        <v>240</v>
      </c>
      <c r="D129" s="199" t="s">
        <v>469</v>
      </c>
      <c r="E129" s="21">
        <f>'№4 '!F89</f>
        <v>144</v>
      </c>
      <c r="F129" s="21">
        <f>'№4 '!G89</f>
        <v>180</v>
      </c>
      <c r="G129" s="21">
        <f>'№4 '!H89</f>
        <v>180</v>
      </c>
    </row>
    <row r="130" spans="1:7" ht="47.25">
      <c r="A130" s="59" t="s">
        <v>66</v>
      </c>
      <c r="B130" s="61">
        <v>1640000000</v>
      </c>
      <c r="C130" s="1"/>
      <c r="D130" s="23" t="s">
        <v>279</v>
      </c>
      <c r="E130" s="21">
        <f>E131</f>
        <v>26</v>
      </c>
      <c r="F130" s="21">
        <f aca="true" t="shared" si="47" ref="F130:G133">F131</f>
        <v>26.5</v>
      </c>
      <c r="G130" s="21">
        <f t="shared" si="47"/>
        <v>26.5</v>
      </c>
    </row>
    <row r="131" spans="1:7" ht="32.45" customHeight="1">
      <c r="A131" s="59" t="s">
        <v>66</v>
      </c>
      <c r="B131" s="59">
        <v>1640200000</v>
      </c>
      <c r="C131" s="1"/>
      <c r="D131" s="23" t="s">
        <v>282</v>
      </c>
      <c r="E131" s="21">
        <f>E132</f>
        <v>26</v>
      </c>
      <c r="F131" s="21">
        <f t="shared" si="47"/>
        <v>26.5</v>
      </c>
      <c r="G131" s="21">
        <f t="shared" si="47"/>
        <v>26.5</v>
      </c>
    </row>
    <row r="132" spans="1:7" ht="15.75" customHeight="1">
      <c r="A132" s="59" t="s">
        <v>66</v>
      </c>
      <c r="B132" s="59">
        <v>1640220250</v>
      </c>
      <c r="C132" s="1"/>
      <c r="D132" s="23" t="s">
        <v>280</v>
      </c>
      <c r="E132" s="21">
        <f>E133</f>
        <v>26</v>
      </c>
      <c r="F132" s="21">
        <f t="shared" si="47"/>
        <v>26.5</v>
      </c>
      <c r="G132" s="21">
        <f t="shared" si="47"/>
        <v>26.5</v>
      </c>
    </row>
    <row r="133" spans="1:7" ht="30.75" customHeight="1">
      <c r="A133" s="59" t="s">
        <v>66</v>
      </c>
      <c r="B133" s="59">
        <v>1640220250</v>
      </c>
      <c r="C133" s="61" t="s">
        <v>75</v>
      </c>
      <c r="D133" s="60" t="s">
        <v>110</v>
      </c>
      <c r="E133" s="21">
        <f>E134</f>
        <v>26</v>
      </c>
      <c r="F133" s="21">
        <f t="shared" si="47"/>
        <v>26.5</v>
      </c>
      <c r="G133" s="21">
        <f t="shared" si="47"/>
        <v>26.5</v>
      </c>
    </row>
    <row r="134" spans="1:7" ht="31.5" customHeight="1">
      <c r="A134" s="59" t="s">
        <v>66</v>
      </c>
      <c r="B134" s="59">
        <v>1640220250</v>
      </c>
      <c r="C134" s="59">
        <v>240</v>
      </c>
      <c r="D134" s="199" t="s">
        <v>469</v>
      </c>
      <c r="E134" s="21">
        <f>'№4 '!F94</f>
        <v>26</v>
      </c>
      <c r="F134" s="21">
        <f>'№4 '!G94</f>
        <v>26.5</v>
      </c>
      <c r="G134" s="21">
        <f>'№4 '!H94</f>
        <v>26.5</v>
      </c>
    </row>
    <row r="135" spans="1:7" ht="12.75">
      <c r="A135" s="59" t="s">
        <v>66</v>
      </c>
      <c r="B135" s="59">
        <v>9900000000</v>
      </c>
      <c r="C135" s="59"/>
      <c r="D135" s="31" t="s">
        <v>131</v>
      </c>
      <c r="E135" s="21">
        <f>E143+E136</f>
        <v>26840.3</v>
      </c>
      <c r="F135" s="21">
        <f>F143+F136</f>
        <v>34247.9</v>
      </c>
      <c r="G135" s="21">
        <f>G143+G136</f>
        <v>34247.9</v>
      </c>
    </row>
    <row r="136" spans="1:7" ht="31.5">
      <c r="A136" s="70" t="s">
        <v>66</v>
      </c>
      <c r="B136" s="68">
        <v>9930000000</v>
      </c>
      <c r="C136" s="68"/>
      <c r="D136" s="69" t="s">
        <v>212</v>
      </c>
      <c r="E136" s="21">
        <f>E137+E140</f>
        <v>1630.1999999999998</v>
      </c>
      <c r="F136" s="21">
        <f aca="true" t="shared" si="48" ref="F136:G136">F137+F140</f>
        <v>0</v>
      </c>
      <c r="G136" s="21">
        <f t="shared" si="48"/>
        <v>0</v>
      </c>
    </row>
    <row r="137" spans="1:7" ht="31.5">
      <c r="A137" s="70" t="s">
        <v>66</v>
      </c>
      <c r="B137" s="68">
        <v>9930020490</v>
      </c>
      <c r="C137" s="68"/>
      <c r="D137" s="69" t="s">
        <v>347</v>
      </c>
      <c r="E137" s="21">
        <f>E138</f>
        <v>1590.1999999999998</v>
      </c>
      <c r="F137" s="21">
        <f aca="true" t="shared" si="49" ref="F137:G138">F138</f>
        <v>0</v>
      </c>
      <c r="G137" s="21">
        <f t="shared" si="49"/>
        <v>0</v>
      </c>
    </row>
    <row r="138" spans="1:7" ht="12.75">
      <c r="A138" s="70" t="s">
        <v>66</v>
      </c>
      <c r="B138" s="68">
        <v>9930020490</v>
      </c>
      <c r="C138" s="13" t="s">
        <v>76</v>
      </c>
      <c r="D138" s="73" t="s">
        <v>77</v>
      </c>
      <c r="E138" s="21">
        <f>E139</f>
        <v>1590.1999999999998</v>
      </c>
      <c r="F138" s="21">
        <f t="shared" si="49"/>
        <v>0</v>
      </c>
      <c r="G138" s="21">
        <f t="shared" si="49"/>
        <v>0</v>
      </c>
    </row>
    <row r="139" spans="1:7" ht="12.75">
      <c r="A139" s="70" t="s">
        <v>66</v>
      </c>
      <c r="B139" s="68">
        <v>9930020490</v>
      </c>
      <c r="C139" s="1" t="s">
        <v>348</v>
      </c>
      <c r="D139" s="22" t="s">
        <v>349</v>
      </c>
      <c r="E139" s="21">
        <f>'№4 '!F553+'№4 '!F99</f>
        <v>1590.1999999999998</v>
      </c>
      <c r="F139" s="21">
        <f>'№4 '!G553+'№4 '!G99</f>
        <v>0</v>
      </c>
      <c r="G139" s="21">
        <f>'№4 '!H553+'№4 '!H99</f>
        <v>0</v>
      </c>
    </row>
    <row r="140" spans="1:7" ht="47.25">
      <c r="A140" s="80" t="s">
        <v>66</v>
      </c>
      <c r="B140" s="78">
        <v>9930020510</v>
      </c>
      <c r="C140" s="78"/>
      <c r="D140" s="79" t="s">
        <v>358</v>
      </c>
      <c r="E140" s="21">
        <f>E141</f>
        <v>40</v>
      </c>
      <c r="F140" s="21">
        <f aca="true" t="shared" si="50" ref="F140:G141">F141</f>
        <v>0</v>
      </c>
      <c r="G140" s="21">
        <f t="shared" si="50"/>
        <v>0</v>
      </c>
    </row>
    <row r="141" spans="1:7" ht="31.5">
      <c r="A141" s="78" t="s">
        <v>66</v>
      </c>
      <c r="B141" s="78">
        <v>9930020510</v>
      </c>
      <c r="C141" s="78" t="s">
        <v>75</v>
      </c>
      <c r="D141" s="79" t="s">
        <v>110</v>
      </c>
      <c r="E141" s="21">
        <f>E142</f>
        <v>40</v>
      </c>
      <c r="F141" s="21">
        <f t="shared" si="50"/>
        <v>0</v>
      </c>
      <c r="G141" s="21">
        <f t="shared" si="50"/>
        <v>0</v>
      </c>
    </row>
    <row r="142" spans="1:7" ht="33" customHeight="1">
      <c r="A142" s="80" t="s">
        <v>66</v>
      </c>
      <c r="B142" s="78">
        <v>9930020510</v>
      </c>
      <c r="C142" s="78">
        <v>240</v>
      </c>
      <c r="D142" s="199" t="s">
        <v>469</v>
      </c>
      <c r="E142" s="21">
        <f>'№4 '!F512</f>
        <v>40</v>
      </c>
      <c r="F142" s="21">
        <f>'№4 '!G512</f>
        <v>0</v>
      </c>
      <c r="G142" s="21">
        <f>'№4 '!H512</f>
        <v>0</v>
      </c>
    </row>
    <row r="143" spans="1:7" ht="31.5">
      <c r="A143" s="59" t="s">
        <v>66</v>
      </c>
      <c r="B143" s="59">
        <v>9990000000</v>
      </c>
      <c r="C143" s="59"/>
      <c r="D143" s="31" t="s">
        <v>199</v>
      </c>
      <c r="E143" s="21">
        <f>E144+E161</f>
        <v>25210.1</v>
      </c>
      <c r="F143" s="21">
        <f>F144+F161</f>
        <v>34247.9</v>
      </c>
      <c r="G143" s="21">
        <f>G144+G161</f>
        <v>34247.9</v>
      </c>
    </row>
    <row r="144" spans="1:7" ht="31.5">
      <c r="A144" s="59" t="s">
        <v>66</v>
      </c>
      <c r="B144" s="59">
        <v>9990200000</v>
      </c>
      <c r="C144" s="31"/>
      <c r="D144" s="31" t="s">
        <v>145</v>
      </c>
      <c r="E144" s="21">
        <f>E158+E145+E153+E150</f>
        <v>4767.5</v>
      </c>
      <c r="F144" s="21">
        <f>F158+F145+F153+F150</f>
        <v>4081.1</v>
      </c>
      <c r="G144" s="21">
        <f>G158+G145+G153+G150</f>
        <v>4081.1</v>
      </c>
    </row>
    <row r="145" spans="1:7" ht="63.75" customHeight="1">
      <c r="A145" s="59" t="s">
        <v>66</v>
      </c>
      <c r="B145" s="59">
        <v>9990210540</v>
      </c>
      <c r="C145" s="59"/>
      <c r="D145" s="31" t="s">
        <v>209</v>
      </c>
      <c r="E145" s="21">
        <f>E146+E148</f>
        <v>264</v>
      </c>
      <c r="F145" s="21">
        <f>F146+F148</f>
        <v>264</v>
      </c>
      <c r="G145" s="21">
        <f>G146+G148</f>
        <v>264</v>
      </c>
    </row>
    <row r="146" spans="1:7" ht="63">
      <c r="A146" s="59" t="s">
        <v>66</v>
      </c>
      <c r="B146" s="59">
        <v>9990210540</v>
      </c>
      <c r="C146" s="59" t="s">
        <v>74</v>
      </c>
      <c r="D146" s="31" t="s">
        <v>2</v>
      </c>
      <c r="E146" s="21">
        <f>E147</f>
        <v>256.3</v>
      </c>
      <c r="F146" s="21">
        <f>F147</f>
        <v>256.3</v>
      </c>
      <c r="G146" s="21">
        <f>G147</f>
        <v>256.3</v>
      </c>
    </row>
    <row r="147" spans="1:7" ht="31.5">
      <c r="A147" s="59" t="s">
        <v>66</v>
      </c>
      <c r="B147" s="59">
        <v>9990210540</v>
      </c>
      <c r="C147" s="59">
        <v>120</v>
      </c>
      <c r="D147" s="31" t="s">
        <v>471</v>
      </c>
      <c r="E147" s="21">
        <f>'№4 '!F104</f>
        <v>256.3</v>
      </c>
      <c r="F147" s="21">
        <f>'№4 '!G104</f>
        <v>256.3</v>
      </c>
      <c r="G147" s="21">
        <f>'№4 '!H104</f>
        <v>256.3</v>
      </c>
    </row>
    <row r="148" spans="1:7" ht="31.5">
      <c r="A148" s="59" t="s">
        <v>66</v>
      </c>
      <c r="B148" s="59">
        <v>9990210540</v>
      </c>
      <c r="C148" s="59" t="s">
        <v>75</v>
      </c>
      <c r="D148" s="31" t="s">
        <v>110</v>
      </c>
      <c r="E148" s="21">
        <f>E149</f>
        <v>7.7</v>
      </c>
      <c r="F148" s="21">
        <f aca="true" t="shared" si="51" ref="F148:G148">F149</f>
        <v>7.7</v>
      </c>
      <c r="G148" s="21">
        <f t="shared" si="51"/>
        <v>7.7</v>
      </c>
    </row>
    <row r="149" spans="1:7" ht="31.5">
      <c r="A149" s="59" t="s">
        <v>66</v>
      </c>
      <c r="B149" s="59">
        <v>9990210540</v>
      </c>
      <c r="C149" s="59">
        <v>240</v>
      </c>
      <c r="D149" s="31" t="s">
        <v>469</v>
      </c>
      <c r="E149" s="21">
        <f>'№4 '!F106</f>
        <v>7.7</v>
      </c>
      <c r="F149" s="21">
        <f>'№4 '!G106</f>
        <v>7.7</v>
      </c>
      <c r="G149" s="21">
        <f>'№4 '!H106</f>
        <v>7.7</v>
      </c>
    </row>
    <row r="150" spans="1:7" ht="78.75">
      <c r="A150" s="112" t="s">
        <v>66</v>
      </c>
      <c r="B150" s="112">
        <v>9990210570</v>
      </c>
      <c r="C150" s="112"/>
      <c r="D150" s="113" t="s">
        <v>409</v>
      </c>
      <c r="E150" s="28">
        <f>E151</f>
        <v>2.6</v>
      </c>
      <c r="F150" s="28">
        <f aca="true" t="shared" si="52" ref="F150:G151">F151</f>
        <v>0</v>
      </c>
      <c r="G150" s="28">
        <f t="shared" si="52"/>
        <v>0</v>
      </c>
    </row>
    <row r="151" spans="1:7" ht="63">
      <c r="A151" s="112" t="s">
        <v>66</v>
      </c>
      <c r="B151" s="112">
        <v>9990210570</v>
      </c>
      <c r="C151" s="112" t="s">
        <v>74</v>
      </c>
      <c r="D151" s="113" t="s">
        <v>2</v>
      </c>
      <c r="E151" s="28">
        <f>E152</f>
        <v>2.6</v>
      </c>
      <c r="F151" s="28">
        <f t="shared" si="52"/>
        <v>0</v>
      </c>
      <c r="G151" s="28">
        <f t="shared" si="52"/>
        <v>0</v>
      </c>
    </row>
    <row r="152" spans="1:7" ht="31.5">
      <c r="A152" s="112" t="s">
        <v>66</v>
      </c>
      <c r="B152" s="112">
        <v>9990210570</v>
      </c>
      <c r="C152" s="112">
        <v>120</v>
      </c>
      <c r="D152" s="113" t="s">
        <v>471</v>
      </c>
      <c r="E152" s="28">
        <f>'№4 '!F109</f>
        <v>2.6</v>
      </c>
      <c r="F152" s="28">
        <f>'№4 '!G109</f>
        <v>0</v>
      </c>
      <c r="G152" s="28">
        <f>'№4 '!H109</f>
        <v>0</v>
      </c>
    </row>
    <row r="153" spans="1:7" ht="51.6" customHeight="1">
      <c r="A153" s="61" t="s">
        <v>66</v>
      </c>
      <c r="B153" s="59">
        <v>9990225000</v>
      </c>
      <c r="C153" s="59"/>
      <c r="D153" s="31" t="s">
        <v>146</v>
      </c>
      <c r="E153" s="21">
        <f>E154+E156</f>
        <v>4167</v>
      </c>
      <c r="F153" s="21">
        <f aca="true" t="shared" si="53" ref="F153:G153">F154+F156</f>
        <v>3367</v>
      </c>
      <c r="G153" s="21">
        <f t="shared" si="53"/>
        <v>3367</v>
      </c>
    </row>
    <row r="154" spans="1:7" ht="63">
      <c r="A154" s="61" t="s">
        <v>66</v>
      </c>
      <c r="B154" s="59">
        <v>9990225000</v>
      </c>
      <c r="C154" s="61" t="s">
        <v>74</v>
      </c>
      <c r="D154" s="60" t="s">
        <v>2</v>
      </c>
      <c r="E154" s="21">
        <f>E155</f>
        <v>4109</v>
      </c>
      <c r="F154" s="21">
        <f aca="true" t="shared" si="54" ref="F154:G154">F155</f>
        <v>3367</v>
      </c>
      <c r="G154" s="21">
        <f t="shared" si="54"/>
        <v>3367</v>
      </c>
    </row>
    <row r="155" spans="1:7" ht="34.15" customHeight="1">
      <c r="A155" s="61" t="s">
        <v>66</v>
      </c>
      <c r="B155" s="59">
        <v>9990225000</v>
      </c>
      <c r="C155" s="59">
        <v>120</v>
      </c>
      <c r="D155" s="31" t="s">
        <v>471</v>
      </c>
      <c r="E155" s="21">
        <f>'№4 '!F558</f>
        <v>4109</v>
      </c>
      <c r="F155" s="21">
        <f>'№4 '!G558</f>
        <v>3367</v>
      </c>
      <c r="G155" s="21">
        <f>'№4 '!H558</f>
        <v>3367</v>
      </c>
    </row>
    <row r="156" spans="1:7" ht="31.5">
      <c r="A156" s="61" t="s">
        <v>66</v>
      </c>
      <c r="B156" s="59">
        <v>9990225000</v>
      </c>
      <c r="C156" s="61" t="s">
        <v>75</v>
      </c>
      <c r="D156" s="60" t="s">
        <v>110</v>
      </c>
      <c r="E156" s="21">
        <f>E157</f>
        <v>58</v>
      </c>
      <c r="F156" s="21">
        <f aca="true" t="shared" si="55" ref="F156:G156">F157</f>
        <v>0</v>
      </c>
      <c r="G156" s="21">
        <f t="shared" si="55"/>
        <v>0</v>
      </c>
    </row>
    <row r="157" spans="1:7" ht="31.15" customHeight="1">
      <c r="A157" s="61" t="s">
        <v>66</v>
      </c>
      <c r="B157" s="59">
        <v>9990225000</v>
      </c>
      <c r="C157" s="59">
        <v>240</v>
      </c>
      <c r="D157" s="31" t="s">
        <v>469</v>
      </c>
      <c r="E157" s="21">
        <f>'№4 '!F560</f>
        <v>58</v>
      </c>
      <c r="F157" s="21">
        <f>'№4 '!G560</f>
        <v>0</v>
      </c>
      <c r="G157" s="21">
        <f>'№4 '!H560</f>
        <v>0</v>
      </c>
    </row>
    <row r="158" spans="1:7" ht="51" customHeight="1">
      <c r="A158" s="59" t="s">
        <v>66</v>
      </c>
      <c r="B158" s="59">
        <v>9990226000</v>
      </c>
      <c r="C158" s="59"/>
      <c r="D158" s="31" t="s">
        <v>201</v>
      </c>
      <c r="E158" s="21">
        <f>E159</f>
        <v>333.9</v>
      </c>
      <c r="F158" s="21">
        <f aca="true" t="shared" si="56" ref="F158:G159">F159</f>
        <v>450.1</v>
      </c>
      <c r="G158" s="21">
        <f t="shared" si="56"/>
        <v>450.1</v>
      </c>
    </row>
    <row r="159" spans="1:7" ht="63">
      <c r="A159" s="59" t="s">
        <v>66</v>
      </c>
      <c r="B159" s="59">
        <v>9990226000</v>
      </c>
      <c r="C159" s="59" t="s">
        <v>74</v>
      </c>
      <c r="D159" s="31" t="s">
        <v>2</v>
      </c>
      <c r="E159" s="21">
        <f>E160</f>
        <v>333.9</v>
      </c>
      <c r="F159" s="21">
        <f t="shared" si="56"/>
        <v>450.1</v>
      </c>
      <c r="G159" s="21">
        <f t="shared" si="56"/>
        <v>450.1</v>
      </c>
    </row>
    <row r="160" spans="1:7" ht="33.6" customHeight="1">
      <c r="A160" s="59" t="s">
        <v>66</v>
      </c>
      <c r="B160" s="59">
        <v>9990226000</v>
      </c>
      <c r="C160" s="59">
        <v>120</v>
      </c>
      <c r="D160" s="31" t="s">
        <v>471</v>
      </c>
      <c r="E160" s="21">
        <f>'№4 '!F112</f>
        <v>333.9</v>
      </c>
      <c r="F160" s="21">
        <f>'№4 '!G112</f>
        <v>450.1</v>
      </c>
      <c r="G160" s="21">
        <f>'№4 '!H112</f>
        <v>450.1</v>
      </c>
    </row>
    <row r="161" spans="1:7" ht="31.5">
      <c r="A161" s="59" t="s">
        <v>66</v>
      </c>
      <c r="B161" s="59">
        <v>9990300000</v>
      </c>
      <c r="C161" s="59"/>
      <c r="D161" s="31" t="s">
        <v>214</v>
      </c>
      <c r="E161" s="21">
        <f>E162+E164+E166</f>
        <v>20442.6</v>
      </c>
      <c r="F161" s="21">
        <f aca="true" t="shared" si="57" ref="F161:G161">F162+F164+F166</f>
        <v>30166.8</v>
      </c>
      <c r="G161" s="21">
        <f t="shared" si="57"/>
        <v>30166.8</v>
      </c>
    </row>
    <row r="162" spans="1:7" ht="63">
      <c r="A162" s="59" t="s">
        <v>66</v>
      </c>
      <c r="B162" s="59">
        <v>9990300000</v>
      </c>
      <c r="C162" s="59" t="s">
        <v>74</v>
      </c>
      <c r="D162" s="31" t="s">
        <v>2</v>
      </c>
      <c r="E162" s="21">
        <f>E163</f>
        <v>15199.999999999998</v>
      </c>
      <c r="F162" s="21">
        <f aca="true" t="shared" si="58" ref="F162:G162">F163</f>
        <v>21699.9</v>
      </c>
      <c r="G162" s="21">
        <f t="shared" si="58"/>
        <v>21699.9</v>
      </c>
    </row>
    <row r="163" spans="1:7" ht="12.75">
      <c r="A163" s="59" t="s">
        <v>66</v>
      </c>
      <c r="B163" s="59">
        <v>9990300000</v>
      </c>
      <c r="C163" s="59">
        <v>110</v>
      </c>
      <c r="D163" s="23" t="s">
        <v>215</v>
      </c>
      <c r="E163" s="21">
        <f>'№4 '!F115</f>
        <v>15199.999999999998</v>
      </c>
      <c r="F163" s="21">
        <f>'№4 '!G115</f>
        <v>21699.9</v>
      </c>
      <c r="G163" s="21">
        <f>'№4 '!H115</f>
        <v>21699.9</v>
      </c>
    </row>
    <row r="164" spans="1:7" ht="31.5">
      <c r="A164" s="59" t="s">
        <v>66</v>
      </c>
      <c r="B164" s="59">
        <v>9990300000</v>
      </c>
      <c r="C164" s="59" t="s">
        <v>75</v>
      </c>
      <c r="D164" s="31" t="s">
        <v>110</v>
      </c>
      <c r="E164" s="21">
        <f>E165</f>
        <v>4872.199999999999</v>
      </c>
      <c r="F164" s="21">
        <f aca="true" t="shared" si="59" ref="F164:G164">F165</f>
        <v>7891.799999999999</v>
      </c>
      <c r="G164" s="21">
        <f t="shared" si="59"/>
        <v>7891.799999999999</v>
      </c>
    </row>
    <row r="165" spans="1:7" ht="36" customHeight="1">
      <c r="A165" s="59" t="s">
        <v>66</v>
      </c>
      <c r="B165" s="59">
        <v>9990300000</v>
      </c>
      <c r="C165" s="59">
        <v>240</v>
      </c>
      <c r="D165" s="31" t="s">
        <v>469</v>
      </c>
      <c r="E165" s="21">
        <f>'№4 '!F117</f>
        <v>4872.199999999999</v>
      </c>
      <c r="F165" s="21">
        <f>'№4 '!G117</f>
        <v>7891.799999999999</v>
      </c>
      <c r="G165" s="21">
        <f>'№4 '!H117</f>
        <v>7891.799999999999</v>
      </c>
    </row>
    <row r="166" spans="1:7" ht="12.75">
      <c r="A166" s="59" t="s">
        <v>66</v>
      </c>
      <c r="B166" s="59">
        <v>9990300000</v>
      </c>
      <c r="C166" s="59" t="s">
        <v>76</v>
      </c>
      <c r="D166" s="31" t="s">
        <v>77</v>
      </c>
      <c r="E166" s="21">
        <f>E167</f>
        <v>370.40000000000003</v>
      </c>
      <c r="F166" s="21">
        <f aca="true" t="shared" si="60" ref="F166:G166">F167</f>
        <v>575.1</v>
      </c>
      <c r="G166" s="21">
        <f t="shared" si="60"/>
        <v>575.1</v>
      </c>
    </row>
    <row r="167" spans="1:7" ht="12.75">
      <c r="A167" s="59" t="s">
        <v>66</v>
      </c>
      <c r="B167" s="59">
        <v>9990300000</v>
      </c>
      <c r="C167" s="59">
        <v>850</v>
      </c>
      <c r="D167" s="31" t="s">
        <v>126</v>
      </c>
      <c r="E167" s="21">
        <f>'№4 '!F119</f>
        <v>370.40000000000003</v>
      </c>
      <c r="F167" s="21">
        <f>'№4 '!G119</f>
        <v>575.1</v>
      </c>
      <c r="G167" s="21">
        <f>'№4 '!H119</f>
        <v>575.1</v>
      </c>
    </row>
    <row r="168" spans="1:7" ht="16.5" customHeight="1">
      <c r="A168" s="5" t="s">
        <v>61</v>
      </c>
      <c r="B168" s="5" t="s">
        <v>72</v>
      </c>
      <c r="C168" s="5" t="s">
        <v>72</v>
      </c>
      <c r="D168" s="26" t="s">
        <v>29</v>
      </c>
      <c r="E168" s="7">
        <f>E169+E181</f>
        <v>8237.4</v>
      </c>
      <c r="F168" s="7">
        <f aca="true" t="shared" si="61" ref="F168:G168">F169+F181</f>
        <v>8045.200000000001</v>
      </c>
      <c r="G168" s="7">
        <f t="shared" si="61"/>
        <v>8099</v>
      </c>
    </row>
    <row r="169" spans="1:7" ht="12.75">
      <c r="A169" s="59" t="s">
        <v>81</v>
      </c>
      <c r="B169" s="59" t="s">
        <v>72</v>
      </c>
      <c r="C169" s="59" t="s">
        <v>72</v>
      </c>
      <c r="D169" s="31" t="s">
        <v>82</v>
      </c>
      <c r="E169" s="21">
        <f>E170</f>
        <v>1451.1000000000001</v>
      </c>
      <c r="F169" s="21">
        <f aca="true" t="shared" si="62" ref="F169:G171">F170</f>
        <v>1496.9</v>
      </c>
      <c r="G169" s="21">
        <f t="shared" si="62"/>
        <v>1550.7</v>
      </c>
    </row>
    <row r="170" spans="1:7" ht="12.75">
      <c r="A170" s="59" t="s">
        <v>81</v>
      </c>
      <c r="B170" s="59">
        <v>9900000000</v>
      </c>
      <c r="C170" s="59"/>
      <c r="D170" s="31" t="s">
        <v>131</v>
      </c>
      <c r="E170" s="21">
        <f>E171</f>
        <v>1451.1000000000001</v>
      </c>
      <c r="F170" s="21">
        <f t="shared" si="62"/>
        <v>1496.9</v>
      </c>
      <c r="G170" s="21">
        <f t="shared" si="62"/>
        <v>1550.7</v>
      </c>
    </row>
    <row r="171" spans="1:7" ht="31.5">
      <c r="A171" s="59" t="s">
        <v>81</v>
      </c>
      <c r="B171" s="59">
        <v>9990000000</v>
      </c>
      <c r="C171" s="59"/>
      <c r="D171" s="31" t="s">
        <v>199</v>
      </c>
      <c r="E171" s="21">
        <f>E172</f>
        <v>1451.1000000000001</v>
      </c>
      <c r="F171" s="21">
        <f t="shared" si="62"/>
        <v>1496.9</v>
      </c>
      <c r="G171" s="21">
        <f t="shared" si="62"/>
        <v>1550.7</v>
      </c>
    </row>
    <row r="172" spans="1:7" ht="31.5">
      <c r="A172" s="59" t="s">
        <v>81</v>
      </c>
      <c r="B172" s="59">
        <v>9990200000</v>
      </c>
      <c r="C172" s="31"/>
      <c r="D172" s="31" t="s">
        <v>145</v>
      </c>
      <c r="E172" s="21">
        <f>E173+E176</f>
        <v>1451.1000000000001</v>
      </c>
      <c r="F172" s="21">
        <f aca="true" t="shared" si="63" ref="F172:G172">F173+F176</f>
        <v>1496.9</v>
      </c>
      <c r="G172" s="21">
        <f t="shared" si="63"/>
        <v>1550.7</v>
      </c>
    </row>
    <row r="173" spans="1:7" ht="50.25" customHeight="1">
      <c r="A173" s="59" t="s">
        <v>81</v>
      </c>
      <c r="B173" s="59">
        <v>9990226000</v>
      </c>
      <c r="C173" s="59"/>
      <c r="D173" s="31" t="s">
        <v>201</v>
      </c>
      <c r="E173" s="21">
        <f>E174</f>
        <v>131.7</v>
      </c>
      <c r="F173" s="21">
        <f aca="true" t="shared" si="64" ref="F173:G174">F174</f>
        <v>131.7</v>
      </c>
      <c r="G173" s="21">
        <f t="shared" si="64"/>
        <v>131.7</v>
      </c>
    </row>
    <row r="174" spans="1:7" ht="63">
      <c r="A174" s="59" t="s">
        <v>81</v>
      </c>
      <c r="B174" s="59">
        <v>9990226000</v>
      </c>
      <c r="C174" s="59" t="s">
        <v>74</v>
      </c>
      <c r="D174" s="31" t="s">
        <v>2</v>
      </c>
      <c r="E174" s="21">
        <f>E175</f>
        <v>131.7</v>
      </c>
      <c r="F174" s="21">
        <f t="shared" si="64"/>
        <v>131.7</v>
      </c>
      <c r="G174" s="21">
        <f t="shared" si="64"/>
        <v>131.7</v>
      </c>
    </row>
    <row r="175" spans="1:7" ht="29.25" customHeight="1">
      <c r="A175" s="59" t="s">
        <v>81</v>
      </c>
      <c r="B175" s="59">
        <v>9990226000</v>
      </c>
      <c r="C175" s="59">
        <v>120</v>
      </c>
      <c r="D175" s="31" t="s">
        <v>471</v>
      </c>
      <c r="E175" s="21">
        <f>'№4 '!F127</f>
        <v>131.7</v>
      </c>
      <c r="F175" s="21">
        <f>'№4 '!G127</f>
        <v>131.7</v>
      </c>
      <c r="G175" s="21">
        <f>'№4 '!H127</f>
        <v>131.7</v>
      </c>
    </row>
    <row r="176" spans="1:7" ht="31.5">
      <c r="A176" s="59" t="s">
        <v>81</v>
      </c>
      <c r="B176" s="59">
        <v>9990259300</v>
      </c>
      <c r="C176" s="59"/>
      <c r="D176" s="31" t="s">
        <v>216</v>
      </c>
      <c r="E176" s="21">
        <f>E177+E179</f>
        <v>1319.4</v>
      </c>
      <c r="F176" s="21">
        <f aca="true" t="shared" si="65" ref="F176:G176">F177+F179</f>
        <v>1365.2</v>
      </c>
      <c r="G176" s="21">
        <f t="shared" si="65"/>
        <v>1419</v>
      </c>
    </row>
    <row r="177" spans="1:7" ht="63">
      <c r="A177" s="59" t="s">
        <v>81</v>
      </c>
      <c r="B177" s="59">
        <v>9990259300</v>
      </c>
      <c r="C177" s="59" t="s">
        <v>74</v>
      </c>
      <c r="D177" s="31" t="s">
        <v>2</v>
      </c>
      <c r="E177" s="21">
        <f>E178</f>
        <v>1227.9</v>
      </c>
      <c r="F177" s="21">
        <f aca="true" t="shared" si="66" ref="F177:G177">F178</f>
        <v>1227.9</v>
      </c>
      <c r="G177" s="21">
        <f t="shared" si="66"/>
        <v>1227.9</v>
      </c>
    </row>
    <row r="178" spans="1:7" ht="32.45" customHeight="1">
      <c r="A178" s="59" t="s">
        <v>81</v>
      </c>
      <c r="B178" s="59">
        <v>9990259300</v>
      </c>
      <c r="C178" s="59">
        <v>120</v>
      </c>
      <c r="D178" s="31" t="s">
        <v>471</v>
      </c>
      <c r="E178" s="21">
        <f>'№4 '!F130</f>
        <v>1227.9</v>
      </c>
      <c r="F178" s="21">
        <f>'№4 '!G130</f>
        <v>1227.9</v>
      </c>
      <c r="G178" s="21">
        <f>'№4 '!H130</f>
        <v>1227.9</v>
      </c>
    </row>
    <row r="179" spans="1:7" ht="31.5">
      <c r="A179" s="59" t="s">
        <v>81</v>
      </c>
      <c r="B179" s="59">
        <v>9990259300</v>
      </c>
      <c r="C179" s="59" t="s">
        <v>75</v>
      </c>
      <c r="D179" s="31" t="s">
        <v>110</v>
      </c>
      <c r="E179" s="21">
        <f>E180</f>
        <v>91.5</v>
      </c>
      <c r="F179" s="21">
        <f aca="true" t="shared" si="67" ref="F179:G179">F180</f>
        <v>137.3</v>
      </c>
      <c r="G179" s="21">
        <f t="shared" si="67"/>
        <v>191.1</v>
      </c>
    </row>
    <row r="180" spans="1:7" ht="33.6" customHeight="1">
      <c r="A180" s="59" t="s">
        <v>81</v>
      </c>
      <c r="B180" s="59">
        <v>9990259300</v>
      </c>
      <c r="C180" s="59">
        <v>240</v>
      </c>
      <c r="D180" s="31" t="s">
        <v>469</v>
      </c>
      <c r="E180" s="21">
        <f>'№4 '!F132</f>
        <v>91.5</v>
      </c>
      <c r="F180" s="21">
        <f>'№4 '!G132</f>
        <v>137.3</v>
      </c>
      <c r="G180" s="21">
        <f>'№4 '!H132</f>
        <v>191.1</v>
      </c>
    </row>
    <row r="181" spans="1:7" ht="31.5">
      <c r="A181" s="59" t="s">
        <v>53</v>
      </c>
      <c r="B181" s="59"/>
      <c r="C181" s="59"/>
      <c r="D181" s="31" t="s">
        <v>19</v>
      </c>
      <c r="E181" s="21">
        <f aca="true" t="shared" si="68" ref="E181:G189">E182</f>
        <v>6786.3</v>
      </c>
      <c r="F181" s="21">
        <f t="shared" si="68"/>
        <v>6548.3</v>
      </c>
      <c r="G181" s="21">
        <f t="shared" si="68"/>
        <v>6548.3</v>
      </c>
    </row>
    <row r="182" spans="1:7" ht="31.5">
      <c r="A182" s="59" t="s">
        <v>53</v>
      </c>
      <c r="B182" s="61">
        <v>1500000000</v>
      </c>
      <c r="C182" s="59"/>
      <c r="D182" s="31" t="s">
        <v>243</v>
      </c>
      <c r="E182" s="21">
        <f t="shared" si="68"/>
        <v>6786.3</v>
      </c>
      <c r="F182" s="21">
        <f t="shared" si="68"/>
        <v>6548.3</v>
      </c>
      <c r="G182" s="21">
        <f t="shared" si="68"/>
        <v>6548.3</v>
      </c>
    </row>
    <row r="183" spans="1:7" ht="12.75">
      <c r="A183" s="59" t="s">
        <v>53</v>
      </c>
      <c r="B183" s="59">
        <v>1510000000</v>
      </c>
      <c r="C183" s="59"/>
      <c r="D183" s="31" t="s">
        <v>206</v>
      </c>
      <c r="E183" s="21">
        <f t="shared" si="68"/>
        <v>6786.3</v>
      </c>
      <c r="F183" s="21">
        <f t="shared" si="68"/>
        <v>6548.3</v>
      </c>
      <c r="G183" s="21">
        <f t="shared" si="68"/>
        <v>6548.3</v>
      </c>
    </row>
    <row r="184" spans="1:7" ht="47.25">
      <c r="A184" s="59" t="s">
        <v>53</v>
      </c>
      <c r="B184" s="59">
        <v>1510100000</v>
      </c>
      <c r="C184" s="59"/>
      <c r="D184" s="31" t="s">
        <v>246</v>
      </c>
      <c r="E184" s="21">
        <f>E188+E185+E191</f>
        <v>6786.3</v>
      </c>
      <c r="F184" s="21">
        <f aca="true" t="shared" si="69" ref="F184:G184">F188+F185+F191</f>
        <v>6548.3</v>
      </c>
      <c r="G184" s="21">
        <f t="shared" si="69"/>
        <v>6548.3</v>
      </c>
    </row>
    <row r="185" spans="1:7" ht="47.25">
      <c r="A185" s="84" t="s">
        <v>53</v>
      </c>
      <c r="B185" s="84">
        <v>1510110200</v>
      </c>
      <c r="C185" s="84"/>
      <c r="D185" s="9" t="s">
        <v>366</v>
      </c>
      <c r="E185" s="21">
        <f>E186</f>
        <v>25</v>
      </c>
      <c r="F185" s="21">
        <f aca="true" t="shared" si="70" ref="F185:G186">F186</f>
        <v>0</v>
      </c>
      <c r="G185" s="21">
        <f t="shared" si="70"/>
        <v>0</v>
      </c>
    </row>
    <row r="186" spans="1:7" ht="31.5">
      <c r="A186" s="84" t="s">
        <v>53</v>
      </c>
      <c r="B186" s="84">
        <v>1510110200</v>
      </c>
      <c r="C186" s="84">
        <v>600</v>
      </c>
      <c r="D186" s="85" t="s">
        <v>90</v>
      </c>
      <c r="E186" s="21">
        <f>E187</f>
        <v>25</v>
      </c>
      <c r="F186" s="21">
        <f t="shared" si="70"/>
        <v>0</v>
      </c>
      <c r="G186" s="21">
        <f t="shared" si="70"/>
        <v>0</v>
      </c>
    </row>
    <row r="187" spans="1:7" ht="12.75">
      <c r="A187" s="84" t="s">
        <v>53</v>
      </c>
      <c r="B187" s="84">
        <v>1510110200</v>
      </c>
      <c r="C187" s="84">
        <v>610</v>
      </c>
      <c r="D187" s="85" t="s">
        <v>130</v>
      </c>
      <c r="E187" s="21">
        <f>'№4 '!F139</f>
        <v>25</v>
      </c>
      <c r="F187" s="21">
        <f>'№4 '!G139</f>
        <v>0</v>
      </c>
      <c r="G187" s="21">
        <f>'№4 '!H139</f>
        <v>0</v>
      </c>
    </row>
    <row r="188" spans="1:7" ht="31.5">
      <c r="A188" s="59" t="s">
        <v>53</v>
      </c>
      <c r="B188" s="59">
        <v>1510120010</v>
      </c>
      <c r="C188" s="59"/>
      <c r="D188" s="31" t="s">
        <v>151</v>
      </c>
      <c r="E188" s="21">
        <f t="shared" si="68"/>
        <v>6758.8</v>
      </c>
      <c r="F188" s="21">
        <f t="shared" si="68"/>
        <v>6548.3</v>
      </c>
      <c r="G188" s="21">
        <f t="shared" si="68"/>
        <v>6548.3</v>
      </c>
    </row>
    <row r="189" spans="1:7" ht="31.5">
      <c r="A189" s="59" t="s">
        <v>53</v>
      </c>
      <c r="B189" s="59">
        <v>1510120010</v>
      </c>
      <c r="C189" s="59">
        <v>600</v>
      </c>
      <c r="D189" s="31" t="s">
        <v>90</v>
      </c>
      <c r="E189" s="21">
        <f t="shared" si="68"/>
        <v>6758.8</v>
      </c>
      <c r="F189" s="21">
        <f t="shared" si="68"/>
        <v>6548.3</v>
      </c>
      <c r="G189" s="21">
        <f t="shared" si="68"/>
        <v>6548.3</v>
      </c>
    </row>
    <row r="190" spans="1:7" ht="12.75">
      <c r="A190" s="59" t="s">
        <v>53</v>
      </c>
      <c r="B190" s="59">
        <v>1510120010</v>
      </c>
      <c r="C190" s="59">
        <v>610</v>
      </c>
      <c r="D190" s="60" t="s">
        <v>130</v>
      </c>
      <c r="E190" s="21">
        <f>'№4 '!F142</f>
        <v>6758.8</v>
      </c>
      <c r="F190" s="21">
        <f>'№4 '!G142</f>
        <v>6548.3</v>
      </c>
      <c r="G190" s="21">
        <f>'№4 '!H142</f>
        <v>6548.3</v>
      </c>
    </row>
    <row r="191" spans="1:7" ht="47.25">
      <c r="A191" s="87" t="s">
        <v>53</v>
      </c>
      <c r="B191" s="87" t="s">
        <v>370</v>
      </c>
      <c r="C191" s="87"/>
      <c r="D191" s="9" t="s">
        <v>366</v>
      </c>
      <c r="E191" s="21">
        <f>E192</f>
        <v>2.5</v>
      </c>
      <c r="F191" s="21">
        <f aca="true" t="shared" si="71" ref="F191:G192">F192</f>
        <v>0</v>
      </c>
      <c r="G191" s="21">
        <f t="shared" si="71"/>
        <v>0</v>
      </c>
    </row>
    <row r="192" spans="1:7" ht="31.5">
      <c r="A192" s="87" t="s">
        <v>53</v>
      </c>
      <c r="B192" s="87" t="s">
        <v>370</v>
      </c>
      <c r="C192" s="87">
        <v>600</v>
      </c>
      <c r="D192" s="88" t="s">
        <v>113</v>
      </c>
      <c r="E192" s="21">
        <f>E193</f>
        <v>2.5</v>
      </c>
      <c r="F192" s="21">
        <f t="shared" si="71"/>
        <v>0</v>
      </c>
      <c r="G192" s="21">
        <f t="shared" si="71"/>
        <v>0</v>
      </c>
    </row>
    <row r="193" spans="1:7" ht="12.75">
      <c r="A193" s="87" t="s">
        <v>53</v>
      </c>
      <c r="B193" s="87" t="s">
        <v>370</v>
      </c>
      <c r="C193" s="87">
        <v>610</v>
      </c>
      <c r="D193" s="88" t="s">
        <v>130</v>
      </c>
      <c r="E193" s="21">
        <f>'№4 '!F145</f>
        <v>2.5</v>
      </c>
      <c r="F193" s="21">
        <f>'№4 '!G145</f>
        <v>0</v>
      </c>
      <c r="G193" s="21">
        <f>'№4 '!H145</f>
        <v>0</v>
      </c>
    </row>
    <row r="194" spans="1:7" ht="12.75">
      <c r="A194" s="5" t="s">
        <v>62</v>
      </c>
      <c r="B194" s="5" t="s">
        <v>72</v>
      </c>
      <c r="C194" s="5" t="s">
        <v>72</v>
      </c>
      <c r="D194" s="26" t="s">
        <v>30</v>
      </c>
      <c r="E194" s="91">
        <f>E195+E202+E209+E231</f>
        <v>128295.79999999997</v>
      </c>
      <c r="F194" s="91">
        <f>F195+F202+F209+F231</f>
        <v>24322.300000000003</v>
      </c>
      <c r="G194" s="91">
        <f>G195+G202+G209+G231</f>
        <v>13428.300000000001</v>
      </c>
    </row>
    <row r="195" spans="1:7" ht="12.75">
      <c r="A195" s="24" t="s">
        <v>122</v>
      </c>
      <c r="B195" s="31"/>
      <c r="C195" s="31"/>
      <c r="D195" s="31" t="s">
        <v>123</v>
      </c>
      <c r="E195" s="21">
        <f aca="true" t="shared" si="72" ref="E195:G200">E196</f>
        <v>366.9</v>
      </c>
      <c r="F195" s="21">
        <f t="shared" si="72"/>
        <v>294.7</v>
      </c>
      <c r="G195" s="21">
        <f t="shared" si="72"/>
        <v>294.7</v>
      </c>
    </row>
    <row r="196" spans="1:7" ht="34.5" customHeight="1">
      <c r="A196" s="24" t="s">
        <v>122</v>
      </c>
      <c r="B196" s="61">
        <v>1100000000</v>
      </c>
      <c r="C196" s="31"/>
      <c r="D196" s="31" t="s">
        <v>247</v>
      </c>
      <c r="E196" s="21">
        <f t="shared" si="72"/>
        <v>366.9</v>
      </c>
      <c r="F196" s="21">
        <f t="shared" si="72"/>
        <v>294.7</v>
      </c>
      <c r="G196" s="21">
        <f t="shared" si="72"/>
        <v>294.7</v>
      </c>
    </row>
    <row r="197" spans="1:7" ht="31.5">
      <c r="A197" s="24" t="s">
        <v>122</v>
      </c>
      <c r="B197" s="61">
        <v>1130000000</v>
      </c>
      <c r="C197" s="31"/>
      <c r="D197" s="31" t="s">
        <v>142</v>
      </c>
      <c r="E197" s="21">
        <f t="shared" si="72"/>
        <v>366.9</v>
      </c>
      <c r="F197" s="21">
        <f t="shared" si="72"/>
        <v>294.7</v>
      </c>
      <c r="G197" s="21">
        <f t="shared" si="72"/>
        <v>294.7</v>
      </c>
    </row>
    <row r="198" spans="1:7" ht="47.25">
      <c r="A198" s="24" t="s">
        <v>122</v>
      </c>
      <c r="B198" s="61">
        <v>1130300000</v>
      </c>
      <c r="C198" s="31"/>
      <c r="D198" s="31" t="s">
        <v>143</v>
      </c>
      <c r="E198" s="21">
        <f t="shared" si="72"/>
        <v>366.9</v>
      </c>
      <c r="F198" s="21">
        <f t="shared" si="72"/>
        <v>294.7</v>
      </c>
      <c r="G198" s="21">
        <f t="shared" si="72"/>
        <v>294.7</v>
      </c>
    </row>
    <row r="199" spans="1:7" ht="31.5">
      <c r="A199" s="24" t="s">
        <v>122</v>
      </c>
      <c r="B199" s="61">
        <v>1130320280</v>
      </c>
      <c r="C199" s="31"/>
      <c r="D199" s="31" t="s">
        <v>144</v>
      </c>
      <c r="E199" s="21">
        <f t="shared" si="72"/>
        <v>366.9</v>
      </c>
      <c r="F199" s="21">
        <f t="shared" si="72"/>
        <v>294.7</v>
      </c>
      <c r="G199" s="21">
        <f t="shared" si="72"/>
        <v>294.7</v>
      </c>
    </row>
    <row r="200" spans="1:7" ht="31.5">
      <c r="A200" s="24" t="s">
        <v>122</v>
      </c>
      <c r="B200" s="61">
        <v>1130320280</v>
      </c>
      <c r="C200" s="61" t="s">
        <v>112</v>
      </c>
      <c r="D200" s="60" t="s">
        <v>113</v>
      </c>
      <c r="E200" s="21">
        <f t="shared" si="72"/>
        <v>366.9</v>
      </c>
      <c r="F200" s="21">
        <f t="shared" si="72"/>
        <v>294.7</v>
      </c>
      <c r="G200" s="21">
        <f t="shared" si="72"/>
        <v>294.7</v>
      </c>
    </row>
    <row r="201" spans="1:7" ht="12.75">
      <c r="A201" s="24" t="s">
        <v>122</v>
      </c>
      <c r="B201" s="61">
        <v>1130320280</v>
      </c>
      <c r="C201" s="59">
        <v>610</v>
      </c>
      <c r="D201" s="60" t="s">
        <v>130</v>
      </c>
      <c r="E201" s="21">
        <f>'№4 '!F153+'№4 '!F692</f>
        <v>366.9</v>
      </c>
      <c r="F201" s="21">
        <f>'№4 '!G153+'№4 '!G692</f>
        <v>294.7</v>
      </c>
      <c r="G201" s="21">
        <f>'№4 '!H153+'№4 '!H692</f>
        <v>294.7</v>
      </c>
    </row>
    <row r="202" spans="1:7" ht="12.75">
      <c r="A202" s="59" t="s">
        <v>95</v>
      </c>
      <c r="B202" s="59" t="s">
        <v>72</v>
      </c>
      <c r="C202" s="59" t="s">
        <v>72</v>
      </c>
      <c r="D202" s="31" t="s">
        <v>96</v>
      </c>
      <c r="E202" s="21">
        <f aca="true" t="shared" si="73" ref="E202:G207">E203</f>
        <v>404</v>
      </c>
      <c r="F202" s="21">
        <f t="shared" si="73"/>
        <v>390.5</v>
      </c>
      <c r="G202" s="21">
        <f t="shared" si="73"/>
        <v>390.5</v>
      </c>
    </row>
    <row r="203" spans="1:7" ht="47.25">
      <c r="A203" s="59" t="s">
        <v>95</v>
      </c>
      <c r="B203" s="61">
        <v>1300000000</v>
      </c>
      <c r="C203" s="59"/>
      <c r="D203" s="60" t="s">
        <v>248</v>
      </c>
      <c r="E203" s="21">
        <f t="shared" si="73"/>
        <v>404</v>
      </c>
      <c r="F203" s="21">
        <f t="shared" si="73"/>
        <v>390.5</v>
      </c>
      <c r="G203" s="21">
        <f t="shared" si="73"/>
        <v>390.5</v>
      </c>
    </row>
    <row r="204" spans="1:7" ht="15.75" customHeight="1">
      <c r="A204" s="59" t="s">
        <v>95</v>
      </c>
      <c r="B204" s="61">
        <v>1330000000</v>
      </c>
      <c r="C204" s="59"/>
      <c r="D204" s="31" t="s">
        <v>152</v>
      </c>
      <c r="E204" s="21">
        <f t="shared" si="73"/>
        <v>404</v>
      </c>
      <c r="F204" s="21">
        <f t="shared" si="73"/>
        <v>390.5</v>
      </c>
      <c r="G204" s="21">
        <f t="shared" si="73"/>
        <v>390.5</v>
      </c>
    </row>
    <row r="205" spans="1:7" ht="31.5">
      <c r="A205" s="59" t="s">
        <v>95</v>
      </c>
      <c r="B205" s="61">
        <v>1330100000</v>
      </c>
      <c r="C205" s="59"/>
      <c r="D205" s="31" t="s">
        <v>249</v>
      </c>
      <c r="E205" s="21">
        <f t="shared" si="73"/>
        <v>404</v>
      </c>
      <c r="F205" s="21">
        <f t="shared" si="73"/>
        <v>390.5</v>
      </c>
      <c r="G205" s="21">
        <f t="shared" si="73"/>
        <v>390.5</v>
      </c>
    </row>
    <row r="206" spans="1:7" ht="78.75">
      <c r="A206" s="59" t="s">
        <v>95</v>
      </c>
      <c r="B206" s="61">
        <v>1330110550</v>
      </c>
      <c r="C206" s="59"/>
      <c r="D206" s="60" t="s">
        <v>326</v>
      </c>
      <c r="E206" s="21">
        <f t="shared" si="73"/>
        <v>404</v>
      </c>
      <c r="F206" s="21">
        <f t="shared" si="73"/>
        <v>390.5</v>
      </c>
      <c r="G206" s="21">
        <f t="shared" si="73"/>
        <v>390.5</v>
      </c>
    </row>
    <row r="207" spans="1:7" ht="31.5">
      <c r="A207" s="59" t="s">
        <v>95</v>
      </c>
      <c r="B207" s="61">
        <v>1330110550</v>
      </c>
      <c r="C207" s="61" t="s">
        <v>75</v>
      </c>
      <c r="D207" s="60" t="s">
        <v>110</v>
      </c>
      <c r="E207" s="21">
        <f t="shared" si="73"/>
        <v>404</v>
      </c>
      <c r="F207" s="21">
        <f t="shared" si="73"/>
        <v>390.5</v>
      </c>
      <c r="G207" s="21">
        <f t="shared" si="73"/>
        <v>390.5</v>
      </c>
    </row>
    <row r="208" spans="1:7" ht="31.9" customHeight="1">
      <c r="A208" s="59" t="s">
        <v>95</v>
      </c>
      <c r="B208" s="61">
        <v>1330110550</v>
      </c>
      <c r="C208" s="59">
        <v>240</v>
      </c>
      <c r="D208" s="60" t="s">
        <v>469</v>
      </c>
      <c r="E208" s="21">
        <f>'№4 '!F160</f>
        <v>404</v>
      </c>
      <c r="F208" s="21">
        <f>'№4 '!G160</f>
        <v>390.5</v>
      </c>
      <c r="G208" s="21">
        <f>'№4 '!H160</f>
        <v>390.5</v>
      </c>
    </row>
    <row r="209" spans="1:7" ht="12.75">
      <c r="A209" s="59" t="s">
        <v>9</v>
      </c>
      <c r="B209" s="59" t="s">
        <v>72</v>
      </c>
      <c r="C209" s="59" t="s">
        <v>72</v>
      </c>
      <c r="D209" s="31" t="s">
        <v>101</v>
      </c>
      <c r="E209" s="21">
        <f>E210</f>
        <v>123288.99999999999</v>
      </c>
      <c r="F209" s="21">
        <f aca="true" t="shared" si="74" ref="F209:G209">F210</f>
        <v>19856.2</v>
      </c>
      <c r="G209" s="21">
        <f t="shared" si="74"/>
        <v>8962.2</v>
      </c>
    </row>
    <row r="210" spans="1:7" ht="47.25">
      <c r="A210" s="59" t="s">
        <v>9</v>
      </c>
      <c r="B210" s="61">
        <v>1400000000</v>
      </c>
      <c r="C210" s="59"/>
      <c r="D210" s="60" t="s">
        <v>250</v>
      </c>
      <c r="E210" s="21">
        <f>E211+E226</f>
        <v>123288.99999999999</v>
      </c>
      <c r="F210" s="21">
        <f>F211+F226</f>
        <v>19856.2</v>
      </c>
      <c r="G210" s="21">
        <f>G211+G226</f>
        <v>8962.2</v>
      </c>
    </row>
    <row r="211" spans="1:7" ht="12.75">
      <c r="A211" s="59" t="s">
        <v>9</v>
      </c>
      <c r="B211" s="61">
        <v>1410000000</v>
      </c>
      <c r="C211" s="59"/>
      <c r="D211" s="31" t="s">
        <v>153</v>
      </c>
      <c r="E211" s="21">
        <f>E212+E216</f>
        <v>119788.99999999999</v>
      </c>
      <c r="F211" s="21">
        <f aca="true" t="shared" si="75" ref="F211:G211">F212+F216</f>
        <v>19856.2</v>
      </c>
      <c r="G211" s="21">
        <f t="shared" si="75"/>
        <v>8962.2</v>
      </c>
    </row>
    <row r="212" spans="1:7" ht="12.75">
      <c r="A212" s="59" t="s">
        <v>9</v>
      </c>
      <c r="B212" s="61">
        <v>1410100000</v>
      </c>
      <c r="C212" s="31"/>
      <c r="D212" s="31" t="s">
        <v>251</v>
      </c>
      <c r="E212" s="21">
        <f>E213</f>
        <v>23841.7</v>
      </c>
      <c r="F212" s="21">
        <f aca="true" t="shared" si="76" ref="F212:G214">F213</f>
        <v>19856.2</v>
      </c>
      <c r="G212" s="21">
        <f t="shared" si="76"/>
        <v>8962.2</v>
      </c>
    </row>
    <row r="213" spans="1:7" ht="32.25" customHeight="1">
      <c r="A213" s="59" t="s">
        <v>9</v>
      </c>
      <c r="B213" s="59">
        <v>1410120100</v>
      </c>
      <c r="C213" s="59"/>
      <c r="D213" s="31" t="s">
        <v>154</v>
      </c>
      <c r="E213" s="21">
        <f>E214</f>
        <v>23841.7</v>
      </c>
      <c r="F213" s="21">
        <f t="shared" si="76"/>
        <v>19856.2</v>
      </c>
      <c r="G213" s="21">
        <f t="shared" si="76"/>
        <v>8962.2</v>
      </c>
    </row>
    <row r="214" spans="1:7" ht="31.5">
      <c r="A214" s="59" t="s">
        <v>9</v>
      </c>
      <c r="B214" s="59">
        <v>1410120100</v>
      </c>
      <c r="C214" s="61" t="s">
        <v>75</v>
      </c>
      <c r="D214" s="60" t="s">
        <v>110</v>
      </c>
      <c r="E214" s="21">
        <f>E215</f>
        <v>23841.7</v>
      </c>
      <c r="F214" s="21">
        <f t="shared" si="76"/>
        <v>19856.2</v>
      </c>
      <c r="G214" s="21">
        <f t="shared" si="76"/>
        <v>8962.2</v>
      </c>
    </row>
    <row r="215" spans="1:7" ht="31.9" customHeight="1">
      <c r="A215" s="59" t="s">
        <v>9</v>
      </c>
      <c r="B215" s="59">
        <v>1410120100</v>
      </c>
      <c r="C215" s="59">
        <v>240</v>
      </c>
      <c r="D215" s="199" t="s">
        <v>469</v>
      </c>
      <c r="E215" s="21">
        <f>'№4 '!F167</f>
        <v>23841.7</v>
      </c>
      <c r="F215" s="21">
        <f>'№4 '!G167</f>
        <v>19856.2</v>
      </c>
      <c r="G215" s="21">
        <f>'№4 '!H167</f>
        <v>8962.2</v>
      </c>
    </row>
    <row r="216" spans="1:7" ht="47.25">
      <c r="A216" s="59" t="s">
        <v>9</v>
      </c>
      <c r="B216" s="61">
        <v>1410200000</v>
      </c>
      <c r="C216" s="59"/>
      <c r="D216" s="31" t="s">
        <v>252</v>
      </c>
      <c r="E216" s="21">
        <f>E220+E223+E217</f>
        <v>95947.29999999999</v>
      </c>
      <c r="F216" s="21">
        <f aca="true" t="shared" si="77" ref="F216:G216">F220+F223+F217</f>
        <v>0</v>
      </c>
      <c r="G216" s="21">
        <f t="shared" si="77"/>
        <v>0</v>
      </c>
    </row>
    <row r="217" spans="1:7" ht="31.5">
      <c r="A217" s="84" t="s">
        <v>9</v>
      </c>
      <c r="B217" s="84">
        <v>1410211050</v>
      </c>
      <c r="C217" s="84"/>
      <c r="D217" s="85" t="s">
        <v>364</v>
      </c>
      <c r="E217" s="21">
        <f>E218</f>
        <v>77453.7</v>
      </c>
      <c r="F217" s="21">
        <f aca="true" t="shared" si="78" ref="F217:G218">F218</f>
        <v>0</v>
      </c>
      <c r="G217" s="21">
        <f t="shared" si="78"/>
        <v>0</v>
      </c>
    </row>
    <row r="218" spans="1:7" ht="31.5">
      <c r="A218" s="84" t="s">
        <v>9</v>
      </c>
      <c r="B218" s="84">
        <v>1410211050</v>
      </c>
      <c r="C218" s="86" t="s">
        <v>75</v>
      </c>
      <c r="D218" s="85" t="s">
        <v>110</v>
      </c>
      <c r="E218" s="21">
        <f>E219</f>
        <v>77453.7</v>
      </c>
      <c r="F218" s="21">
        <f t="shared" si="78"/>
        <v>0</v>
      </c>
      <c r="G218" s="21">
        <f t="shared" si="78"/>
        <v>0</v>
      </c>
    </row>
    <row r="219" spans="1:7" ht="29.45" customHeight="1">
      <c r="A219" s="84" t="s">
        <v>9</v>
      </c>
      <c r="B219" s="84">
        <v>1410211050</v>
      </c>
      <c r="C219" s="84">
        <v>240</v>
      </c>
      <c r="D219" s="199" t="s">
        <v>469</v>
      </c>
      <c r="E219" s="21">
        <f>'№4 '!F171</f>
        <v>77453.7</v>
      </c>
      <c r="F219" s="21">
        <f>'№4 '!G171</f>
        <v>0</v>
      </c>
      <c r="G219" s="21">
        <f>'№4 '!H171</f>
        <v>0</v>
      </c>
    </row>
    <row r="220" spans="1:7" ht="12.75">
      <c r="A220" s="59" t="s">
        <v>9</v>
      </c>
      <c r="B220" s="59">
        <v>1410220110</v>
      </c>
      <c r="C220" s="59"/>
      <c r="D220" s="31" t="s">
        <v>155</v>
      </c>
      <c r="E220" s="21">
        <f>E221</f>
        <v>1564.4</v>
      </c>
      <c r="F220" s="21">
        <f aca="true" t="shared" si="79" ref="F220:G221">F221</f>
        <v>0</v>
      </c>
      <c r="G220" s="21">
        <f t="shared" si="79"/>
        <v>0</v>
      </c>
    </row>
    <row r="221" spans="1:7" ht="31.5">
      <c r="A221" s="59" t="s">
        <v>9</v>
      </c>
      <c r="B221" s="59">
        <v>1410220110</v>
      </c>
      <c r="C221" s="61" t="s">
        <v>75</v>
      </c>
      <c r="D221" s="60" t="s">
        <v>110</v>
      </c>
      <c r="E221" s="21">
        <f>E222</f>
        <v>1564.4</v>
      </c>
      <c r="F221" s="21">
        <f t="shared" si="79"/>
        <v>0</v>
      </c>
      <c r="G221" s="21">
        <f t="shared" si="79"/>
        <v>0</v>
      </c>
    </row>
    <row r="222" spans="1:7" ht="33" customHeight="1">
      <c r="A222" s="59" t="s">
        <v>9</v>
      </c>
      <c r="B222" s="59">
        <v>1410220110</v>
      </c>
      <c r="C222" s="59">
        <v>240</v>
      </c>
      <c r="D222" s="199" t="s">
        <v>469</v>
      </c>
      <c r="E222" s="21">
        <f>'№4 '!F174</f>
        <v>1564.4</v>
      </c>
      <c r="F222" s="21">
        <f>'№4 '!G174</f>
        <v>0</v>
      </c>
      <c r="G222" s="21">
        <f>'№4 '!H174</f>
        <v>0</v>
      </c>
    </row>
    <row r="223" spans="1:7" ht="31.5">
      <c r="A223" s="68" t="s">
        <v>9</v>
      </c>
      <c r="B223" s="84" t="s">
        <v>363</v>
      </c>
      <c r="C223" s="84"/>
      <c r="D223" s="85" t="s">
        <v>362</v>
      </c>
      <c r="E223" s="28">
        <f>E224</f>
        <v>16929.199999999997</v>
      </c>
      <c r="F223" s="28">
        <f aca="true" t="shared" si="80" ref="F223:G224">F224</f>
        <v>0</v>
      </c>
      <c r="G223" s="28">
        <f t="shared" si="80"/>
        <v>0</v>
      </c>
    </row>
    <row r="224" spans="1:7" ht="31.5">
      <c r="A224" s="68" t="s">
        <v>9</v>
      </c>
      <c r="B224" s="84" t="s">
        <v>363</v>
      </c>
      <c r="C224" s="70" t="s">
        <v>75</v>
      </c>
      <c r="D224" s="69" t="s">
        <v>110</v>
      </c>
      <c r="E224" s="28">
        <f>E225</f>
        <v>16929.199999999997</v>
      </c>
      <c r="F224" s="28">
        <f t="shared" si="80"/>
        <v>0</v>
      </c>
      <c r="G224" s="28">
        <f t="shared" si="80"/>
        <v>0</v>
      </c>
    </row>
    <row r="225" spans="1:7" ht="34.9" customHeight="1">
      <c r="A225" s="68" t="s">
        <v>9</v>
      </c>
      <c r="B225" s="84" t="s">
        <v>363</v>
      </c>
      <c r="C225" s="68">
        <v>240</v>
      </c>
      <c r="D225" s="199" t="s">
        <v>469</v>
      </c>
      <c r="E225" s="28">
        <f>'№4 '!F177</f>
        <v>16929.199999999997</v>
      </c>
      <c r="F225" s="28">
        <f>'№4 '!G177</f>
        <v>0</v>
      </c>
      <c r="G225" s="28">
        <f>'№4 '!H177</f>
        <v>0</v>
      </c>
    </row>
    <row r="226" spans="1:7" ht="12.75">
      <c r="A226" s="59" t="s">
        <v>9</v>
      </c>
      <c r="B226" s="61">
        <v>1420000000</v>
      </c>
      <c r="C226" s="59"/>
      <c r="D226" s="31" t="s">
        <v>156</v>
      </c>
      <c r="E226" s="21">
        <f>E227</f>
        <v>3500</v>
      </c>
      <c r="F226" s="21">
        <f aca="true" t="shared" si="81" ref="F226:G229">F227</f>
        <v>0</v>
      </c>
      <c r="G226" s="21">
        <f t="shared" si="81"/>
        <v>0</v>
      </c>
    </row>
    <row r="227" spans="1:7" ht="31.5">
      <c r="A227" s="59" t="s">
        <v>9</v>
      </c>
      <c r="B227" s="61">
        <v>1420100000</v>
      </c>
      <c r="C227" s="59"/>
      <c r="D227" s="31" t="s">
        <v>253</v>
      </c>
      <c r="E227" s="21">
        <f>E228</f>
        <v>3500</v>
      </c>
      <c r="F227" s="21">
        <f t="shared" si="81"/>
        <v>0</v>
      </c>
      <c r="G227" s="21">
        <f t="shared" si="81"/>
        <v>0</v>
      </c>
    </row>
    <row r="228" spans="1:7" ht="12.75">
      <c r="A228" s="59" t="s">
        <v>9</v>
      </c>
      <c r="B228" s="59">
        <v>1420120120</v>
      </c>
      <c r="C228" s="59"/>
      <c r="D228" s="31" t="s">
        <v>157</v>
      </c>
      <c r="E228" s="21">
        <f>E229</f>
        <v>3500</v>
      </c>
      <c r="F228" s="21">
        <f t="shared" si="81"/>
        <v>0</v>
      </c>
      <c r="G228" s="21">
        <f t="shared" si="81"/>
        <v>0</v>
      </c>
    </row>
    <row r="229" spans="1:7" ht="31.5">
      <c r="A229" s="59" t="s">
        <v>9</v>
      </c>
      <c r="B229" s="59">
        <v>1420120120</v>
      </c>
      <c r="C229" s="61" t="s">
        <v>75</v>
      </c>
      <c r="D229" s="60" t="s">
        <v>110</v>
      </c>
      <c r="E229" s="21">
        <f>E230</f>
        <v>3500</v>
      </c>
      <c r="F229" s="21">
        <f t="shared" si="81"/>
        <v>0</v>
      </c>
      <c r="G229" s="21">
        <f t="shared" si="81"/>
        <v>0</v>
      </c>
    </row>
    <row r="230" spans="1:7" ht="31.9" customHeight="1">
      <c r="A230" s="59" t="s">
        <v>9</v>
      </c>
      <c r="B230" s="59">
        <v>1420120120</v>
      </c>
      <c r="C230" s="59">
        <v>240</v>
      </c>
      <c r="D230" s="199" t="s">
        <v>469</v>
      </c>
      <c r="E230" s="21">
        <f>'№4 '!F182</f>
        <v>3500</v>
      </c>
      <c r="F230" s="21">
        <f>'№4 '!G182</f>
        <v>0</v>
      </c>
      <c r="G230" s="21">
        <f>'№4 '!H182</f>
        <v>0</v>
      </c>
    </row>
    <row r="231" spans="1:7" ht="12.75">
      <c r="A231" s="59" t="s">
        <v>54</v>
      </c>
      <c r="B231" s="59" t="s">
        <v>72</v>
      </c>
      <c r="C231" s="59" t="s">
        <v>72</v>
      </c>
      <c r="D231" s="31" t="s">
        <v>31</v>
      </c>
      <c r="E231" s="21">
        <f aca="true" t="shared" si="82" ref="E231:G236">E232</f>
        <v>4235.9</v>
      </c>
      <c r="F231" s="21">
        <f t="shared" si="82"/>
        <v>3780.9</v>
      </c>
      <c r="G231" s="21">
        <f t="shared" si="82"/>
        <v>3780.9</v>
      </c>
    </row>
    <row r="232" spans="1:7" ht="47.25">
      <c r="A232" s="59" t="s">
        <v>54</v>
      </c>
      <c r="B232" s="61">
        <v>1600000000</v>
      </c>
      <c r="C232" s="31"/>
      <c r="D232" s="60" t="s">
        <v>140</v>
      </c>
      <c r="E232" s="21">
        <f>E233+E246+E251</f>
        <v>4235.9</v>
      </c>
      <c r="F232" s="21">
        <f>F233+F246+F251</f>
        <v>3780.9</v>
      </c>
      <c r="G232" s="21">
        <f>G233+G246+G251</f>
        <v>3780.9</v>
      </c>
    </row>
    <row r="233" spans="1:7" ht="31.5">
      <c r="A233" s="59" t="s">
        <v>54</v>
      </c>
      <c r="B233" s="61">
        <v>1610000000</v>
      </c>
      <c r="C233" s="59"/>
      <c r="D233" s="31" t="s">
        <v>285</v>
      </c>
      <c r="E233" s="21">
        <f>E234+E238+E242</f>
        <v>3866.9</v>
      </c>
      <c r="F233" s="21">
        <f aca="true" t="shared" si="83" ref="F233:G233">F234+F238+F242</f>
        <v>3280.9</v>
      </c>
      <c r="G233" s="21">
        <f t="shared" si="83"/>
        <v>3280.9</v>
      </c>
    </row>
    <row r="234" spans="1:7" ht="47.25">
      <c r="A234" s="59" t="s">
        <v>54</v>
      </c>
      <c r="B234" s="61">
        <v>1610100000</v>
      </c>
      <c r="C234" s="59"/>
      <c r="D234" s="31" t="s">
        <v>254</v>
      </c>
      <c r="E234" s="21">
        <f t="shared" si="82"/>
        <v>2204.7</v>
      </c>
      <c r="F234" s="21">
        <f t="shared" si="82"/>
        <v>2874.5</v>
      </c>
      <c r="G234" s="21">
        <f t="shared" si="82"/>
        <v>2874.5</v>
      </c>
    </row>
    <row r="235" spans="1:7" ht="31.5">
      <c r="A235" s="59" t="s">
        <v>54</v>
      </c>
      <c r="B235" s="61">
        <v>1610120010</v>
      </c>
      <c r="C235" s="59"/>
      <c r="D235" s="31" t="s">
        <v>151</v>
      </c>
      <c r="E235" s="21">
        <f t="shared" si="82"/>
        <v>2204.7</v>
      </c>
      <c r="F235" s="21">
        <f t="shared" si="82"/>
        <v>2874.5</v>
      </c>
      <c r="G235" s="21">
        <f t="shared" si="82"/>
        <v>2874.5</v>
      </c>
    </row>
    <row r="236" spans="1:7" ht="31.5">
      <c r="A236" s="59" t="s">
        <v>54</v>
      </c>
      <c r="B236" s="61">
        <v>1610120010</v>
      </c>
      <c r="C236" s="61" t="s">
        <v>112</v>
      </c>
      <c r="D236" s="60" t="s">
        <v>113</v>
      </c>
      <c r="E236" s="21">
        <f t="shared" si="82"/>
        <v>2204.7</v>
      </c>
      <c r="F236" s="21">
        <f t="shared" si="82"/>
        <v>2874.5</v>
      </c>
      <c r="G236" s="21">
        <f t="shared" si="82"/>
        <v>2874.5</v>
      </c>
    </row>
    <row r="237" spans="1:7" ht="12.75">
      <c r="A237" s="59" t="s">
        <v>54</v>
      </c>
      <c r="B237" s="61">
        <v>1610120010</v>
      </c>
      <c r="C237" s="59">
        <v>610</v>
      </c>
      <c r="D237" s="60" t="s">
        <v>130</v>
      </c>
      <c r="E237" s="21">
        <f>'№4 '!F189</f>
        <v>2204.7</v>
      </c>
      <c r="F237" s="21">
        <f>'№4 '!G189</f>
        <v>2874.5</v>
      </c>
      <c r="G237" s="21">
        <f>'№4 '!H189</f>
        <v>2874.5</v>
      </c>
    </row>
    <row r="238" spans="1:7" ht="63">
      <c r="A238" s="59" t="s">
        <v>54</v>
      </c>
      <c r="B238" s="61">
        <v>1610200000</v>
      </c>
      <c r="C238" s="59"/>
      <c r="D238" s="60" t="s">
        <v>296</v>
      </c>
      <c r="E238" s="21">
        <f>E239</f>
        <v>264.3</v>
      </c>
      <c r="F238" s="21">
        <f aca="true" t="shared" si="84" ref="F238:G244">F239</f>
        <v>0</v>
      </c>
      <c r="G238" s="21">
        <f t="shared" si="84"/>
        <v>0</v>
      </c>
    </row>
    <row r="239" spans="1:7" ht="31.5">
      <c r="A239" s="59" t="s">
        <v>54</v>
      </c>
      <c r="B239" s="61">
        <v>1610220030</v>
      </c>
      <c r="C239" s="59"/>
      <c r="D239" s="60" t="s">
        <v>292</v>
      </c>
      <c r="E239" s="21">
        <f>E240</f>
        <v>264.3</v>
      </c>
      <c r="F239" s="21">
        <f t="shared" si="84"/>
        <v>0</v>
      </c>
      <c r="G239" s="21">
        <f t="shared" si="84"/>
        <v>0</v>
      </c>
    </row>
    <row r="240" spans="1:7" ht="31.5">
      <c r="A240" s="59" t="s">
        <v>54</v>
      </c>
      <c r="B240" s="61">
        <v>1610220030</v>
      </c>
      <c r="C240" s="61" t="s">
        <v>112</v>
      </c>
      <c r="D240" s="60" t="s">
        <v>113</v>
      </c>
      <c r="E240" s="21">
        <f>E241</f>
        <v>264.3</v>
      </c>
      <c r="F240" s="21">
        <f t="shared" si="84"/>
        <v>0</v>
      </c>
      <c r="G240" s="21">
        <f t="shared" si="84"/>
        <v>0</v>
      </c>
    </row>
    <row r="241" spans="1:7" ht="12.75">
      <c r="A241" s="59" t="s">
        <v>54</v>
      </c>
      <c r="B241" s="61">
        <v>1610220030</v>
      </c>
      <c r="C241" s="59">
        <v>610</v>
      </c>
      <c r="D241" s="60" t="s">
        <v>130</v>
      </c>
      <c r="E241" s="21">
        <f>'№4 '!F193</f>
        <v>264.3</v>
      </c>
      <c r="F241" s="21">
        <f>'№4 '!G193</f>
        <v>0</v>
      </c>
      <c r="G241" s="21">
        <f>'№4 '!H193</f>
        <v>0</v>
      </c>
    </row>
    <row r="242" spans="1:7" ht="31.5">
      <c r="A242" s="59" t="s">
        <v>54</v>
      </c>
      <c r="B242" s="61">
        <v>1610300000</v>
      </c>
      <c r="C242" s="59"/>
      <c r="D242" s="60" t="s">
        <v>297</v>
      </c>
      <c r="E242" s="21">
        <f>E243</f>
        <v>1397.9</v>
      </c>
      <c r="F242" s="21">
        <f aca="true" t="shared" si="85" ref="F242:G242">F243</f>
        <v>406.4</v>
      </c>
      <c r="G242" s="21">
        <f t="shared" si="85"/>
        <v>406.4</v>
      </c>
    </row>
    <row r="243" spans="1:7" ht="12.75">
      <c r="A243" s="59" t="s">
        <v>54</v>
      </c>
      <c r="B243" s="61">
        <v>1610320200</v>
      </c>
      <c r="C243" s="59"/>
      <c r="D243" s="60" t="s">
        <v>186</v>
      </c>
      <c r="E243" s="21">
        <f>E244</f>
        <v>1397.9</v>
      </c>
      <c r="F243" s="21">
        <f t="shared" si="84"/>
        <v>406.4</v>
      </c>
      <c r="G243" s="21">
        <f t="shared" si="84"/>
        <v>406.4</v>
      </c>
    </row>
    <row r="244" spans="1:7" ht="31.5">
      <c r="A244" s="59" t="s">
        <v>54</v>
      </c>
      <c r="B244" s="61">
        <v>1610320200</v>
      </c>
      <c r="C244" s="61" t="s">
        <v>112</v>
      </c>
      <c r="D244" s="60" t="s">
        <v>113</v>
      </c>
      <c r="E244" s="21">
        <f>E245</f>
        <v>1397.9</v>
      </c>
      <c r="F244" s="21">
        <f t="shared" si="84"/>
        <v>406.4</v>
      </c>
      <c r="G244" s="21">
        <f t="shared" si="84"/>
        <v>406.4</v>
      </c>
    </row>
    <row r="245" spans="1:7" ht="12.75">
      <c r="A245" s="59" t="s">
        <v>54</v>
      </c>
      <c r="B245" s="61">
        <v>1610320200</v>
      </c>
      <c r="C245" s="59">
        <v>610</v>
      </c>
      <c r="D245" s="60" t="s">
        <v>130</v>
      </c>
      <c r="E245" s="21">
        <f>'№4 '!F197</f>
        <v>1397.9</v>
      </c>
      <c r="F245" s="21">
        <f>'№4 '!G197</f>
        <v>406.4</v>
      </c>
      <c r="G245" s="21">
        <f>'№4 '!H197</f>
        <v>406.4</v>
      </c>
    </row>
    <row r="246" spans="1:7" ht="31.5">
      <c r="A246" s="61" t="s">
        <v>54</v>
      </c>
      <c r="B246" s="61">
        <v>1620000000</v>
      </c>
      <c r="C246" s="61"/>
      <c r="D246" s="60" t="s">
        <v>133</v>
      </c>
      <c r="E246" s="21">
        <f aca="true" t="shared" si="86" ref="E246:G249">E247</f>
        <v>300</v>
      </c>
      <c r="F246" s="21">
        <f t="shared" si="86"/>
        <v>500</v>
      </c>
      <c r="G246" s="21">
        <f t="shared" si="86"/>
        <v>500</v>
      </c>
    </row>
    <row r="247" spans="1:7" ht="12.75">
      <c r="A247" s="61" t="s">
        <v>54</v>
      </c>
      <c r="B247" s="61">
        <v>1620100000</v>
      </c>
      <c r="C247" s="61"/>
      <c r="D247" s="60" t="s">
        <v>134</v>
      </c>
      <c r="E247" s="21">
        <f t="shared" si="86"/>
        <v>300</v>
      </c>
      <c r="F247" s="21">
        <f t="shared" si="86"/>
        <v>500</v>
      </c>
      <c r="G247" s="21">
        <f t="shared" si="86"/>
        <v>500</v>
      </c>
    </row>
    <row r="248" spans="1:7" ht="31.5">
      <c r="A248" s="61" t="s">
        <v>54</v>
      </c>
      <c r="B248" s="61">
        <v>1620120240</v>
      </c>
      <c r="C248" s="61"/>
      <c r="D248" s="60" t="s">
        <v>137</v>
      </c>
      <c r="E248" s="21">
        <f t="shared" si="86"/>
        <v>300</v>
      </c>
      <c r="F248" s="21">
        <f t="shared" si="86"/>
        <v>500</v>
      </c>
      <c r="G248" s="21">
        <f t="shared" si="86"/>
        <v>500</v>
      </c>
    </row>
    <row r="249" spans="1:7" ht="31.5">
      <c r="A249" s="61" t="s">
        <v>54</v>
      </c>
      <c r="B249" s="61">
        <v>1620120240</v>
      </c>
      <c r="C249" s="61" t="s">
        <v>75</v>
      </c>
      <c r="D249" s="60" t="s">
        <v>110</v>
      </c>
      <c r="E249" s="21">
        <f t="shared" si="86"/>
        <v>300</v>
      </c>
      <c r="F249" s="21">
        <f t="shared" si="86"/>
        <v>500</v>
      </c>
      <c r="G249" s="21">
        <f t="shared" si="86"/>
        <v>500</v>
      </c>
    </row>
    <row r="250" spans="1:7" ht="30" customHeight="1">
      <c r="A250" s="61" t="s">
        <v>54</v>
      </c>
      <c r="B250" s="61">
        <v>1620120240</v>
      </c>
      <c r="C250" s="59">
        <v>240</v>
      </c>
      <c r="D250" s="199" t="s">
        <v>469</v>
      </c>
      <c r="E250" s="21">
        <f>'№4 '!F568</f>
        <v>300</v>
      </c>
      <c r="F250" s="21">
        <f>'№4 '!G568</f>
        <v>500</v>
      </c>
      <c r="G250" s="21">
        <f>'№4 '!H568</f>
        <v>500</v>
      </c>
    </row>
    <row r="251" spans="1:7" ht="47.25">
      <c r="A251" s="59" t="s">
        <v>54</v>
      </c>
      <c r="B251" s="61">
        <v>1630000000</v>
      </c>
      <c r="C251" s="59"/>
      <c r="D251" s="60" t="s">
        <v>286</v>
      </c>
      <c r="E251" s="21">
        <f>E252+E256</f>
        <v>69</v>
      </c>
      <c r="F251" s="21">
        <f>F252+F256</f>
        <v>0</v>
      </c>
      <c r="G251" s="21">
        <f>G252+G256</f>
        <v>0</v>
      </c>
    </row>
    <row r="252" spans="1:7" ht="47.25">
      <c r="A252" s="59" t="s">
        <v>54</v>
      </c>
      <c r="B252" s="59">
        <v>1630100000</v>
      </c>
      <c r="C252" s="59"/>
      <c r="D252" s="31" t="s">
        <v>287</v>
      </c>
      <c r="E252" s="21">
        <f>E253</f>
        <v>53.599999999999994</v>
      </c>
      <c r="F252" s="21">
        <f aca="true" t="shared" si="87" ref="F252:G252">F253</f>
        <v>0</v>
      </c>
      <c r="G252" s="21">
        <f t="shared" si="87"/>
        <v>0</v>
      </c>
    </row>
    <row r="253" spans="1:7" ht="47.25">
      <c r="A253" s="59" t="s">
        <v>54</v>
      </c>
      <c r="B253" s="59">
        <v>1630120180</v>
      </c>
      <c r="C253" s="59"/>
      <c r="D253" s="31" t="s">
        <v>288</v>
      </c>
      <c r="E253" s="21">
        <f>E254</f>
        <v>53.599999999999994</v>
      </c>
      <c r="F253" s="21">
        <f aca="true" t="shared" si="88" ref="F253:G254">F254</f>
        <v>0</v>
      </c>
      <c r="G253" s="21">
        <f t="shared" si="88"/>
        <v>0</v>
      </c>
    </row>
    <row r="254" spans="1:7" ht="31.5">
      <c r="A254" s="59" t="s">
        <v>54</v>
      </c>
      <c r="B254" s="59">
        <v>1630120180</v>
      </c>
      <c r="C254" s="61" t="s">
        <v>112</v>
      </c>
      <c r="D254" s="60" t="s">
        <v>113</v>
      </c>
      <c r="E254" s="21">
        <f>E255</f>
        <v>53.599999999999994</v>
      </c>
      <c r="F254" s="21">
        <f t="shared" si="88"/>
        <v>0</v>
      </c>
      <c r="G254" s="21">
        <f t="shared" si="88"/>
        <v>0</v>
      </c>
    </row>
    <row r="255" spans="1:7" ht="12.75">
      <c r="A255" s="59" t="s">
        <v>54</v>
      </c>
      <c r="B255" s="59">
        <v>1630120180</v>
      </c>
      <c r="C255" s="59">
        <v>610</v>
      </c>
      <c r="D255" s="60" t="s">
        <v>130</v>
      </c>
      <c r="E255" s="21">
        <f>'№4 '!F202</f>
        <v>53.599999999999994</v>
      </c>
      <c r="F255" s="21">
        <f>'№4 '!G202</f>
        <v>0</v>
      </c>
      <c r="G255" s="21">
        <f>'№4 '!H202</f>
        <v>0</v>
      </c>
    </row>
    <row r="256" spans="1:7" ht="47.25">
      <c r="A256" s="59" t="s">
        <v>54</v>
      </c>
      <c r="B256" s="59">
        <v>1630200000</v>
      </c>
      <c r="C256" s="59"/>
      <c r="D256" s="31" t="s">
        <v>289</v>
      </c>
      <c r="E256" s="21">
        <f>E257</f>
        <v>15.4</v>
      </c>
      <c r="F256" s="21">
        <f aca="true" t="shared" si="89" ref="F256:G258">F257</f>
        <v>0</v>
      </c>
      <c r="G256" s="21">
        <f t="shared" si="89"/>
        <v>0</v>
      </c>
    </row>
    <row r="257" spans="1:7" ht="18" customHeight="1">
      <c r="A257" s="59" t="s">
        <v>54</v>
      </c>
      <c r="B257" s="59">
        <v>1630220530</v>
      </c>
      <c r="C257" s="59"/>
      <c r="D257" s="31" t="s">
        <v>290</v>
      </c>
      <c r="E257" s="21">
        <f>E258</f>
        <v>15.4</v>
      </c>
      <c r="F257" s="21">
        <f t="shared" si="89"/>
        <v>0</v>
      </c>
      <c r="G257" s="21">
        <f t="shared" si="89"/>
        <v>0</v>
      </c>
    </row>
    <row r="258" spans="1:7" ht="31.5">
      <c r="A258" s="59" t="s">
        <v>54</v>
      </c>
      <c r="B258" s="59">
        <v>1630220530</v>
      </c>
      <c r="C258" s="61" t="s">
        <v>112</v>
      </c>
      <c r="D258" s="60" t="s">
        <v>113</v>
      </c>
      <c r="E258" s="21">
        <f>E259</f>
        <v>15.4</v>
      </c>
      <c r="F258" s="21">
        <f t="shared" si="89"/>
        <v>0</v>
      </c>
      <c r="G258" s="21">
        <f t="shared" si="89"/>
        <v>0</v>
      </c>
    </row>
    <row r="259" spans="1:7" ht="12.75">
      <c r="A259" s="59" t="s">
        <v>54</v>
      </c>
      <c r="B259" s="59">
        <v>1630220530</v>
      </c>
      <c r="C259" s="59">
        <v>610</v>
      </c>
      <c r="D259" s="60" t="s">
        <v>130</v>
      </c>
      <c r="E259" s="21">
        <f>'№4 '!F206</f>
        <v>15.4</v>
      </c>
      <c r="F259" s="21">
        <f>'№4 '!G206</f>
        <v>0</v>
      </c>
      <c r="G259" s="21">
        <f>'№4 '!H206</f>
        <v>0</v>
      </c>
    </row>
    <row r="260" spans="1:7" ht="12.75">
      <c r="A260" s="5" t="s">
        <v>63</v>
      </c>
      <c r="B260" s="5" t="s">
        <v>72</v>
      </c>
      <c r="C260" s="5" t="s">
        <v>72</v>
      </c>
      <c r="D260" s="26" t="s">
        <v>32</v>
      </c>
      <c r="E260" s="7">
        <f>E261+E278+E268</f>
        <v>42915.3</v>
      </c>
      <c r="F260" s="7">
        <f>F261+F278+F268</f>
        <v>16087</v>
      </c>
      <c r="G260" s="7">
        <f>G261+G278+G268</f>
        <v>16087</v>
      </c>
    </row>
    <row r="261" spans="1:7" ht="12.75">
      <c r="A261" s="61" t="s">
        <v>7</v>
      </c>
      <c r="B261" s="61" t="s">
        <v>72</v>
      </c>
      <c r="C261" s="61" t="s">
        <v>72</v>
      </c>
      <c r="D261" s="60" t="s">
        <v>8</v>
      </c>
      <c r="E261" s="21">
        <f aca="true" t="shared" si="90" ref="E261:G266">E262</f>
        <v>1433.7</v>
      </c>
      <c r="F261" s="21">
        <f t="shared" si="90"/>
        <v>1433.7</v>
      </c>
      <c r="G261" s="21">
        <f t="shared" si="90"/>
        <v>1433.7</v>
      </c>
    </row>
    <row r="262" spans="1:7" ht="47.25">
      <c r="A262" s="61" t="s">
        <v>7</v>
      </c>
      <c r="B262" s="61">
        <v>1600000000</v>
      </c>
      <c r="C262" s="61"/>
      <c r="D262" s="60" t="s">
        <v>140</v>
      </c>
      <c r="E262" s="21">
        <f t="shared" si="90"/>
        <v>1433.7</v>
      </c>
      <c r="F262" s="21">
        <f t="shared" si="90"/>
        <v>1433.7</v>
      </c>
      <c r="G262" s="21">
        <f t="shared" si="90"/>
        <v>1433.7</v>
      </c>
    </row>
    <row r="263" spans="1:7" ht="31.5">
      <c r="A263" s="61" t="s">
        <v>7</v>
      </c>
      <c r="B263" s="61">
        <v>1620000000</v>
      </c>
      <c r="C263" s="61"/>
      <c r="D263" s="60" t="s">
        <v>133</v>
      </c>
      <c r="E263" s="21">
        <f t="shared" si="90"/>
        <v>1433.7</v>
      </c>
      <c r="F263" s="21">
        <f t="shared" si="90"/>
        <v>1433.7</v>
      </c>
      <c r="G263" s="21">
        <f t="shared" si="90"/>
        <v>1433.7</v>
      </c>
    </row>
    <row r="264" spans="1:7" ht="12.75">
      <c r="A264" s="61" t="s">
        <v>7</v>
      </c>
      <c r="B264" s="61">
        <v>1620100000</v>
      </c>
      <c r="C264" s="61"/>
      <c r="D264" s="60" t="s">
        <v>134</v>
      </c>
      <c r="E264" s="21">
        <f t="shared" si="90"/>
        <v>1433.7</v>
      </c>
      <c r="F264" s="21">
        <f t="shared" si="90"/>
        <v>1433.7</v>
      </c>
      <c r="G264" s="21">
        <f t="shared" si="90"/>
        <v>1433.7</v>
      </c>
    </row>
    <row r="265" spans="1:7" ht="47.25">
      <c r="A265" s="61" t="s">
        <v>7</v>
      </c>
      <c r="B265" s="61">
        <v>1620120230</v>
      </c>
      <c r="C265" s="61"/>
      <c r="D265" s="60" t="s">
        <v>139</v>
      </c>
      <c r="E265" s="21">
        <f t="shared" si="90"/>
        <v>1433.7</v>
      </c>
      <c r="F265" s="21">
        <f t="shared" si="90"/>
        <v>1433.7</v>
      </c>
      <c r="G265" s="21">
        <f t="shared" si="90"/>
        <v>1433.7</v>
      </c>
    </row>
    <row r="266" spans="1:7" ht="31.5">
      <c r="A266" s="61" t="s">
        <v>7</v>
      </c>
      <c r="B266" s="61">
        <v>1620120230</v>
      </c>
      <c r="C266" s="61" t="s">
        <v>75</v>
      </c>
      <c r="D266" s="60" t="s">
        <v>110</v>
      </c>
      <c r="E266" s="21">
        <f t="shared" si="90"/>
        <v>1433.7</v>
      </c>
      <c r="F266" s="21">
        <f t="shared" si="90"/>
        <v>1433.7</v>
      </c>
      <c r="G266" s="21">
        <f t="shared" si="90"/>
        <v>1433.7</v>
      </c>
    </row>
    <row r="267" spans="1:7" ht="31.9" customHeight="1">
      <c r="A267" s="61" t="s">
        <v>7</v>
      </c>
      <c r="B267" s="61">
        <v>1620120230</v>
      </c>
      <c r="C267" s="59">
        <v>240</v>
      </c>
      <c r="D267" s="199" t="s">
        <v>469</v>
      </c>
      <c r="E267" s="21">
        <f>'№4 '!F576</f>
        <v>1433.7</v>
      </c>
      <c r="F267" s="21">
        <f>'№4 '!G576</f>
        <v>1433.7</v>
      </c>
      <c r="G267" s="21">
        <f>'№4 '!H576</f>
        <v>1433.7</v>
      </c>
    </row>
    <row r="268" spans="1:7" ht="17.25" customHeight="1">
      <c r="A268" s="29" t="s">
        <v>342</v>
      </c>
      <c r="B268" s="68"/>
      <c r="C268" s="68"/>
      <c r="D268" s="15" t="s">
        <v>343</v>
      </c>
      <c r="E268" s="28">
        <f>E269</f>
        <v>6123.200000000001</v>
      </c>
      <c r="F268" s="28">
        <f aca="true" t="shared" si="91" ref="F268:G270">F269</f>
        <v>0</v>
      </c>
      <c r="G268" s="28">
        <f t="shared" si="91"/>
        <v>0</v>
      </c>
    </row>
    <row r="269" spans="1:7" ht="47.25">
      <c r="A269" s="29" t="s">
        <v>342</v>
      </c>
      <c r="B269" s="70">
        <v>1400000000</v>
      </c>
      <c r="C269" s="68"/>
      <c r="D269" s="69" t="s">
        <v>250</v>
      </c>
      <c r="E269" s="28">
        <f>E270</f>
        <v>6123.200000000001</v>
      </c>
      <c r="F269" s="28">
        <f t="shared" si="91"/>
        <v>0</v>
      </c>
      <c r="G269" s="28">
        <f t="shared" si="91"/>
        <v>0</v>
      </c>
    </row>
    <row r="270" spans="1:7" ht="15.75" customHeight="1">
      <c r="A270" s="29" t="s">
        <v>342</v>
      </c>
      <c r="B270" s="70">
        <v>1430000000</v>
      </c>
      <c r="C270" s="68"/>
      <c r="D270" s="9" t="s">
        <v>344</v>
      </c>
      <c r="E270" s="28">
        <f>E271</f>
        <v>6123.200000000001</v>
      </c>
      <c r="F270" s="28">
        <f t="shared" si="91"/>
        <v>0</v>
      </c>
      <c r="G270" s="28">
        <f t="shared" si="91"/>
        <v>0</v>
      </c>
    </row>
    <row r="271" spans="1:7" ht="31.9" customHeight="1">
      <c r="A271" s="29" t="s">
        <v>342</v>
      </c>
      <c r="B271" s="68">
        <v>1430300000</v>
      </c>
      <c r="C271" s="68"/>
      <c r="D271" s="9" t="s">
        <v>345</v>
      </c>
      <c r="E271" s="28">
        <f>E275+E272</f>
        <v>6123.200000000001</v>
      </c>
      <c r="F271" s="28">
        <f aca="true" t="shared" si="92" ref="F271:G271">F275+F272</f>
        <v>0</v>
      </c>
      <c r="G271" s="28">
        <f t="shared" si="92"/>
        <v>0</v>
      </c>
    </row>
    <row r="272" spans="1:7" ht="31.9" customHeight="1">
      <c r="A272" s="29" t="s">
        <v>342</v>
      </c>
      <c r="B272" s="112">
        <v>1430310100</v>
      </c>
      <c r="C272" s="112"/>
      <c r="D272" s="74" t="s">
        <v>386</v>
      </c>
      <c r="E272" s="28">
        <f>E273</f>
        <v>4898.6</v>
      </c>
      <c r="F272" s="28">
        <f aca="true" t="shared" si="93" ref="F272:G273">F273</f>
        <v>0</v>
      </c>
      <c r="G272" s="28">
        <f t="shared" si="93"/>
        <v>0</v>
      </c>
    </row>
    <row r="273" spans="1:7" ht="31.9" customHeight="1">
      <c r="A273" s="29" t="s">
        <v>342</v>
      </c>
      <c r="B273" s="112">
        <v>1430310100</v>
      </c>
      <c r="C273" s="114" t="s">
        <v>78</v>
      </c>
      <c r="D273" s="113" t="s">
        <v>111</v>
      </c>
      <c r="E273" s="28">
        <f>E274</f>
        <v>4898.6</v>
      </c>
      <c r="F273" s="28">
        <f t="shared" si="93"/>
        <v>0</v>
      </c>
      <c r="G273" s="28">
        <f t="shared" si="93"/>
        <v>0</v>
      </c>
    </row>
    <row r="274" spans="1:7" ht="19.5" customHeight="1">
      <c r="A274" s="29" t="s">
        <v>342</v>
      </c>
      <c r="B274" s="112">
        <v>1430310100</v>
      </c>
      <c r="C274" s="114" t="s">
        <v>147</v>
      </c>
      <c r="D274" s="113" t="s">
        <v>148</v>
      </c>
      <c r="E274" s="28">
        <f>'№4 '!F214</f>
        <v>4898.6</v>
      </c>
      <c r="F274" s="28">
        <f>'№4 '!G214</f>
        <v>0</v>
      </c>
      <c r="G274" s="28">
        <f>'№4 '!H214</f>
        <v>0</v>
      </c>
    </row>
    <row r="275" spans="1:7" ht="31.9" customHeight="1">
      <c r="A275" s="29" t="s">
        <v>342</v>
      </c>
      <c r="B275" s="68" t="s">
        <v>346</v>
      </c>
      <c r="C275" s="68"/>
      <c r="D275" s="74" t="s">
        <v>350</v>
      </c>
      <c r="E275" s="28">
        <f>E276</f>
        <v>1224.6000000000001</v>
      </c>
      <c r="F275" s="28">
        <f aca="true" t="shared" si="94" ref="F275:G275">F276</f>
        <v>0</v>
      </c>
      <c r="G275" s="28">
        <f t="shared" si="94"/>
        <v>0</v>
      </c>
    </row>
    <row r="276" spans="1:7" ht="31.9" customHeight="1">
      <c r="A276" s="29" t="s">
        <v>342</v>
      </c>
      <c r="B276" s="68" t="s">
        <v>346</v>
      </c>
      <c r="C276" s="82" t="s">
        <v>78</v>
      </c>
      <c r="D276" s="81" t="s">
        <v>111</v>
      </c>
      <c r="E276" s="28">
        <f>E277</f>
        <v>1224.6000000000001</v>
      </c>
      <c r="F276" s="28">
        <f aca="true" t="shared" si="95" ref="F276:G276">F277</f>
        <v>0</v>
      </c>
      <c r="G276" s="28">
        <f t="shared" si="95"/>
        <v>0</v>
      </c>
    </row>
    <row r="277" spans="1:7" ht="21.6" customHeight="1">
      <c r="A277" s="29" t="s">
        <v>342</v>
      </c>
      <c r="B277" s="68" t="s">
        <v>346</v>
      </c>
      <c r="C277" s="82" t="s">
        <v>147</v>
      </c>
      <c r="D277" s="81" t="s">
        <v>148</v>
      </c>
      <c r="E277" s="28">
        <f>'№4 '!F217</f>
        <v>1224.6000000000001</v>
      </c>
      <c r="F277" s="28">
        <f>'№4 '!G217</f>
        <v>0</v>
      </c>
      <c r="G277" s="28">
        <f>'№4 '!H217</f>
        <v>0</v>
      </c>
    </row>
    <row r="278" spans="1:7" ht="12.75">
      <c r="A278" s="59" t="s">
        <v>55</v>
      </c>
      <c r="B278" s="59" t="s">
        <v>72</v>
      </c>
      <c r="C278" s="59" t="s">
        <v>72</v>
      </c>
      <c r="D278" s="31" t="s">
        <v>33</v>
      </c>
      <c r="E278" s="21">
        <f>E279</f>
        <v>35358.4</v>
      </c>
      <c r="F278" s="21">
        <f aca="true" t="shared" si="96" ref="F278:G278">F279</f>
        <v>14653.3</v>
      </c>
      <c r="G278" s="21">
        <f t="shared" si="96"/>
        <v>14653.3</v>
      </c>
    </row>
    <row r="279" spans="1:7" ht="47.25">
      <c r="A279" s="59" t="s">
        <v>55</v>
      </c>
      <c r="B279" s="61">
        <v>1300000000</v>
      </c>
      <c r="C279" s="59"/>
      <c r="D279" s="31" t="s">
        <v>248</v>
      </c>
      <c r="E279" s="21">
        <f>E280+E295+E325</f>
        <v>35358.4</v>
      </c>
      <c r="F279" s="21">
        <f>F280+F295+F325</f>
        <v>14653.3</v>
      </c>
      <c r="G279" s="21">
        <f>G280+G295+G325</f>
        <v>14653.3</v>
      </c>
    </row>
    <row r="280" spans="1:7" ht="47.25">
      <c r="A280" s="59" t="s">
        <v>55</v>
      </c>
      <c r="B280" s="61">
        <v>1310000000</v>
      </c>
      <c r="C280" s="59"/>
      <c r="D280" s="31" t="s">
        <v>299</v>
      </c>
      <c r="E280" s="28">
        <f>E281+E288</f>
        <v>16120.2</v>
      </c>
      <c r="F280" s="28">
        <f aca="true" t="shared" si="97" ref="F280:G280">F281+F288</f>
        <v>0</v>
      </c>
      <c r="G280" s="28">
        <f t="shared" si="97"/>
        <v>0</v>
      </c>
    </row>
    <row r="281" spans="1:7" ht="31.5">
      <c r="A281" s="59" t="s">
        <v>55</v>
      </c>
      <c r="B281" s="61">
        <v>1310100000</v>
      </c>
      <c r="C281" s="31"/>
      <c r="D281" s="31" t="s">
        <v>158</v>
      </c>
      <c r="E281" s="28">
        <f>E285+E282</f>
        <v>7346.2</v>
      </c>
      <c r="F281" s="28">
        <f aca="true" t="shared" si="98" ref="F281:G281">F285+F282</f>
        <v>0</v>
      </c>
      <c r="G281" s="28">
        <f t="shared" si="98"/>
        <v>0</v>
      </c>
    </row>
    <row r="282" spans="1:7" ht="12.75">
      <c r="A282" s="92" t="s">
        <v>55</v>
      </c>
      <c r="B282" s="92">
        <v>1310120100</v>
      </c>
      <c r="C282" s="92"/>
      <c r="D282" s="52" t="s">
        <v>373</v>
      </c>
      <c r="E282" s="28">
        <f>E283</f>
        <v>155.4</v>
      </c>
      <c r="F282" s="28">
        <f aca="true" t="shared" si="99" ref="F282:G283">F283</f>
        <v>0</v>
      </c>
      <c r="G282" s="28">
        <f t="shared" si="99"/>
        <v>0</v>
      </c>
    </row>
    <row r="283" spans="1:7" ht="31.5">
      <c r="A283" s="92" t="s">
        <v>55</v>
      </c>
      <c r="B283" s="92">
        <v>1310120100</v>
      </c>
      <c r="C283" s="94" t="s">
        <v>75</v>
      </c>
      <c r="D283" s="93" t="s">
        <v>110</v>
      </c>
      <c r="E283" s="28">
        <f>E284</f>
        <v>155.4</v>
      </c>
      <c r="F283" s="28">
        <f t="shared" si="99"/>
        <v>0</v>
      </c>
      <c r="G283" s="28">
        <f t="shared" si="99"/>
        <v>0</v>
      </c>
    </row>
    <row r="284" spans="1:7" ht="34.15" customHeight="1">
      <c r="A284" s="92" t="s">
        <v>55</v>
      </c>
      <c r="B284" s="92">
        <v>1310120100</v>
      </c>
      <c r="C284" s="92">
        <v>240</v>
      </c>
      <c r="D284" s="93" t="s">
        <v>469</v>
      </c>
      <c r="E284" s="28">
        <f>'№4 '!F224</f>
        <v>155.4</v>
      </c>
      <c r="F284" s="28">
        <f>'№4 '!G224</f>
        <v>0</v>
      </c>
      <c r="G284" s="28">
        <f>'№4 '!H224</f>
        <v>0</v>
      </c>
    </row>
    <row r="285" spans="1:7" ht="30" customHeight="1">
      <c r="A285" s="92" t="s">
        <v>55</v>
      </c>
      <c r="B285" s="92" t="s">
        <v>159</v>
      </c>
      <c r="C285" s="92"/>
      <c r="D285" s="95" t="s">
        <v>354</v>
      </c>
      <c r="E285" s="28">
        <f>E286</f>
        <v>7190.8</v>
      </c>
      <c r="F285" s="28">
        <f aca="true" t="shared" si="100" ref="F285:G286">F286</f>
        <v>0</v>
      </c>
      <c r="G285" s="28">
        <f t="shared" si="100"/>
        <v>0</v>
      </c>
    </row>
    <row r="286" spans="1:7" ht="31.5">
      <c r="A286" s="59" t="s">
        <v>55</v>
      </c>
      <c r="B286" s="59" t="s">
        <v>159</v>
      </c>
      <c r="C286" s="61" t="s">
        <v>75</v>
      </c>
      <c r="D286" s="60" t="s">
        <v>110</v>
      </c>
      <c r="E286" s="28">
        <f>E287</f>
        <v>7190.8</v>
      </c>
      <c r="F286" s="28">
        <f t="shared" si="100"/>
        <v>0</v>
      </c>
      <c r="G286" s="28">
        <f t="shared" si="100"/>
        <v>0</v>
      </c>
    </row>
    <row r="287" spans="1:7" ht="33" customHeight="1">
      <c r="A287" s="59" t="s">
        <v>55</v>
      </c>
      <c r="B287" s="59" t="s">
        <v>159</v>
      </c>
      <c r="C287" s="59">
        <v>240</v>
      </c>
      <c r="D287" s="199" t="s">
        <v>469</v>
      </c>
      <c r="E287" s="28">
        <f>'№4 '!F227</f>
        <v>7190.8</v>
      </c>
      <c r="F287" s="28">
        <f>'№4 '!G227</f>
        <v>0</v>
      </c>
      <c r="G287" s="28">
        <f>'№4 '!H227</f>
        <v>0</v>
      </c>
    </row>
    <row r="288" spans="1:7" ht="45.6" customHeight="1">
      <c r="A288" s="59" t="s">
        <v>55</v>
      </c>
      <c r="B288" s="61">
        <v>1310200000</v>
      </c>
      <c r="C288" s="59"/>
      <c r="D288" s="31" t="s">
        <v>160</v>
      </c>
      <c r="E288" s="28">
        <f>E292+E289</f>
        <v>8774</v>
      </c>
      <c r="F288" s="28">
        <f>F292</f>
        <v>0</v>
      </c>
      <c r="G288" s="28">
        <f>G292</f>
        <v>0</v>
      </c>
    </row>
    <row r="289" spans="1:7" ht="22.15" customHeight="1">
      <c r="A289" s="96" t="s">
        <v>55</v>
      </c>
      <c r="B289" s="96">
        <v>1310220100</v>
      </c>
      <c r="C289" s="96"/>
      <c r="D289" s="200" t="s">
        <v>373</v>
      </c>
      <c r="E289" s="28">
        <f>E290</f>
        <v>181.8</v>
      </c>
      <c r="F289" s="28">
        <f aca="true" t="shared" si="101" ref="F289:G290">F290</f>
        <v>0</v>
      </c>
      <c r="G289" s="28">
        <f t="shared" si="101"/>
        <v>0</v>
      </c>
    </row>
    <row r="290" spans="1:7" ht="37.15" customHeight="1">
      <c r="A290" s="96" t="s">
        <v>55</v>
      </c>
      <c r="B290" s="96">
        <v>1310220100</v>
      </c>
      <c r="C290" s="98" t="s">
        <v>75</v>
      </c>
      <c r="D290" s="97" t="s">
        <v>110</v>
      </c>
      <c r="E290" s="28">
        <f>E291</f>
        <v>181.8</v>
      </c>
      <c r="F290" s="28">
        <f t="shared" si="101"/>
        <v>0</v>
      </c>
      <c r="G290" s="28">
        <f t="shared" si="101"/>
        <v>0</v>
      </c>
    </row>
    <row r="291" spans="1:7" ht="34.15" customHeight="1">
      <c r="A291" s="96" t="s">
        <v>55</v>
      </c>
      <c r="B291" s="96">
        <v>1310220100</v>
      </c>
      <c r="C291" s="96">
        <v>240</v>
      </c>
      <c r="D291" s="199" t="s">
        <v>469</v>
      </c>
      <c r="E291" s="28">
        <f>'№4 '!F231</f>
        <v>181.8</v>
      </c>
      <c r="F291" s="28">
        <f>'№4 '!G231</f>
        <v>0</v>
      </c>
      <c r="G291" s="28">
        <f>'№4 '!H231</f>
        <v>0</v>
      </c>
    </row>
    <row r="292" spans="1:7" ht="16.5" customHeight="1">
      <c r="A292" s="92" t="s">
        <v>55</v>
      </c>
      <c r="B292" s="92" t="s">
        <v>161</v>
      </c>
      <c r="C292" s="92"/>
      <c r="D292" s="95" t="s">
        <v>354</v>
      </c>
      <c r="E292" s="28">
        <f>E293</f>
        <v>8592.2</v>
      </c>
      <c r="F292" s="28">
        <f aca="true" t="shared" si="102" ref="F292:G293">F293</f>
        <v>0</v>
      </c>
      <c r="G292" s="28">
        <f t="shared" si="102"/>
        <v>0</v>
      </c>
    </row>
    <row r="293" spans="1:7" ht="31.5">
      <c r="A293" s="59" t="s">
        <v>55</v>
      </c>
      <c r="B293" s="59" t="s">
        <v>161</v>
      </c>
      <c r="C293" s="61" t="s">
        <v>75</v>
      </c>
      <c r="D293" s="60" t="s">
        <v>110</v>
      </c>
      <c r="E293" s="28">
        <f>E294</f>
        <v>8592.2</v>
      </c>
      <c r="F293" s="28">
        <f t="shared" si="102"/>
        <v>0</v>
      </c>
      <c r="G293" s="28">
        <f t="shared" si="102"/>
        <v>0</v>
      </c>
    </row>
    <row r="294" spans="1:7" ht="31.9" customHeight="1">
      <c r="A294" s="59" t="s">
        <v>55</v>
      </c>
      <c r="B294" s="59" t="s">
        <v>161</v>
      </c>
      <c r="C294" s="59">
        <v>240</v>
      </c>
      <c r="D294" s="199" t="s">
        <v>469</v>
      </c>
      <c r="E294" s="28">
        <f>'№4 '!F234</f>
        <v>8592.2</v>
      </c>
      <c r="F294" s="28">
        <f>'№4 '!G234</f>
        <v>0</v>
      </c>
      <c r="G294" s="28">
        <f>'№4 '!H234</f>
        <v>0</v>
      </c>
    </row>
    <row r="295" spans="1:7" ht="22.9" customHeight="1">
      <c r="A295" s="59" t="s">
        <v>55</v>
      </c>
      <c r="B295" s="61">
        <v>1320000000</v>
      </c>
      <c r="C295" s="59"/>
      <c r="D295" s="31" t="s">
        <v>255</v>
      </c>
      <c r="E295" s="28">
        <f>E296+E306</f>
        <v>18972.399999999998</v>
      </c>
      <c r="F295" s="28">
        <f aca="true" t="shared" si="103" ref="F295:G295">F296+F306</f>
        <v>14349.3</v>
      </c>
      <c r="G295" s="28">
        <f t="shared" si="103"/>
        <v>14349.3</v>
      </c>
    </row>
    <row r="296" spans="1:7" ht="31.5">
      <c r="A296" s="59" t="s">
        <v>55</v>
      </c>
      <c r="B296" s="61">
        <v>1320100000</v>
      </c>
      <c r="C296" s="59"/>
      <c r="D296" s="60" t="s">
        <v>256</v>
      </c>
      <c r="E296" s="28">
        <f>E303+E297+E300</f>
        <v>2790.7000000000003</v>
      </c>
      <c r="F296" s="28">
        <f aca="true" t="shared" si="104" ref="F296:G296">F303+F297+F300</f>
        <v>0</v>
      </c>
      <c r="G296" s="28">
        <f t="shared" si="104"/>
        <v>0</v>
      </c>
    </row>
    <row r="297" spans="1:7" ht="31.5">
      <c r="A297" s="84" t="s">
        <v>55</v>
      </c>
      <c r="B297" s="84">
        <v>1320110430</v>
      </c>
      <c r="C297" s="84"/>
      <c r="D297" s="85" t="s">
        <v>361</v>
      </c>
      <c r="E297" s="28">
        <f>E298</f>
        <v>1162</v>
      </c>
      <c r="F297" s="28">
        <f aca="true" t="shared" si="105" ref="F297:G298">F298</f>
        <v>0</v>
      </c>
      <c r="G297" s="28">
        <f t="shared" si="105"/>
        <v>0</v>
      </c>
    </row>
    <row r="298" spans="1:7" ht="31.5">
      <c r="A298" s="84" t="s">
        <v>55</v>
      </c>
      <c r="B298" s="84">
        <v>1320110430</v>
      </c>
      <c r="C298" s="86" t="s">
        <v>75</v>
      </c>
      <c r="D298" s="85" t="s">
        <v>110</v>
      </c>
      <c r="E298" s="28">
        <f>E299</f>
        <v>1162</v>
      </c>
      <c r="F298" s="28">
        <f t="shared" si="105"/>
        <v>0</v>
      </c>
      <c r="G298" s="28">
        <f t="shared" si="105"/>
        <v>0</v>
      </c>
    </row>
    <row r="299" spans="1:7" ht="36.6" customHeight="1">
      <c r="A299" s="84" t="s">
        <v>55</v>
      </c>
      <c r="B299" s="84">
        <v>1320110430</v>
      </c>
      <c r="C299" s="84">
        <v>240</v>
      </c>
      <c r="D299" s="199" t="s">
        <v>469</v>
      </c>
      <c r="E299" s="28">
        <f>'№4 '!F238</f>
        <v>1162</v>
      </c>
      <c r="F299" s="28">
        <f>'№4 '!G238</f>
        <v>0</v>
      </c>
      <c r="G299" s="28">
        <f>'№4 '!H238</f>
        <v>0</v>
      </c>
    </row>
    <row r="300" spans="1:7" ht="12.75">
      <c r="A300" s="96" t="s">
        <v>55</v>
      </c>
      <c r="B300" s="96">
        <v>1320120100</v>
      </c>
      <c r="C300" s="96"/>
      <c r="D300" s="97" t="s">
        <v>373</v>
      </c>
      <c r="E300" s="28">
        <f>E301</f>
        <v>53.400000000000006</v>
      </c>
      <c r="F300" s="28">
        <f aca="true" t="shared" si="106" ref="F300:G301">F301</f>
        <v>0</v>
      </c>
      <c r="G300" s="28">
        <f t="shared" si="106"/>
        <v>0</v>
      </c>
    </row>
    <row r="301" spans="1:7" ht="33" customHeight="1">
      <c r="A301" s="96" t="s">
        <v>55</v>
      </c>
      <c r="B301" s="96">
        <v>1320120100</v>
      </c>
      <c r="C301" s="98" t="s">
        <v>75</v>
      </c>
      <c r="D301" s="97" t="s">
        <v>110</v>
      </c>
      <c r="E301" s="28">
        <f>E302</f>
        <v>53.400000000000006</v>
      </c>
      <c r="F301" s="28">
        <f t="shared" si="106"/>
        <v>0</v>
      </c>
      <c r="G301" s="28">
        <f t="shared" si="106"/>
        <v>0</v>
      </c>
    </row>
    <row r="302" spans="1:7" ht="36.6" customHeight="1">
      <c r="A302" s="96" t="s">
        <v>55</v>
      </c>
      <c r="B302" s="96">
        <v>1320120100</v>
      </c>
      <c r="C302" s="96">
        <v>240</v>
      </c>
      <c r="D302" s="199" t="s">
        <v>469</v>
      </c>
      <c r="E302" s="28">
        <f>'№4 '!F242</f>
        <v>53.400000000000006</v>
      </c>
      <c r="F302" s="28">
        <f>'№4 '!G242</f>
        <v>0</v>
      </c>
      <c r="G302" s="28">
        <f>'№4 '!H242</f>
        <v>0</v>
      </c>
    </row>
    <row r="303" spans="1:7" ht="31.5">
      <c r="A303" s="59" t="s">
        <v>55</v>
      </c>
      <c r="B303" s="59" t="s">
        <v>162</v>
      </c>
      <c r="C303" s="59"/>
      <c r="D303" s="65" t="s">
        <v>325</v>
      </c>
      <c r="E303" s="28">
        <f>E304</f>
        <v>1575.3</v>
      </c>
      <c r="F303" s="28">
        <f aca="true" t="shared" si="107" ref="F303:G304">F304</f>
        <v>0</v>
      </c>
      <c r="G303" s="28">
        <f t="shared" si="107"/>
        <v>0</v>
      </c>
    </row>
    <row r="304" spans="1:7" ht="31.5">
      <c r="A304" s="59" t="s">
        <v>55</v>
      </c>
      <c r="B304" s="59" t="s">
        <v>162</v>
      </c>
      <c r="C304" s="61" t="s">
        <v>75</v>
      </c>
      <c r="D304" s="60" t="s">
        <v>110</v>
      </c>
      <c r="E304" s="21">
        <f>E305</f>
        <v>1575.3</v>
      </c>
      <c r="F304" s="21">
        <f t="shared" si="107"/>
        <v>0</v>
      </c>
      <c r="G304" s="21">
        <f t="shared" si="107"/>
        <v>0</v>
      </c>
    </row>
    <row r="305" spans="1:7" ht="33.6" customHeight="1">
      <c r="A305" s="59" t="s">
        <v>55</v>
      </c>
      <c r="B305" s="59" t="s">
        <v>162</v>
      </c>
      <c r="C305" s="59">
        <v>240</v>
      </c>
      <c r="D305" s="199" t="s">
        <v>469</v>
      </c>
      <c r="E305" s="21">
        <f>'№4 '!F245</f>
        <v>1575.3</v>
      </c>
      <c r="F305" s="21">
        <f>'№4 '!G245</f>
        <v>0</v>
      </c>
      <c r="G305" s="21">
        <f>'№4 '!H245</f>
        <v>0</v>
      </c>
    </row>
    <row r="306" spans="1:7" ht="12.75">
      <c r="A306" s="59" t="s">
        <v>55</v>
      </c>
      <c r="B306" s="61">
        <v>1320200000</v>
      </c>
      <c r="C306" s="59"/>
      <c r="D306" s="60" t="s">
        <v>163</v>
      </c>
      <c r="E306" s="21">
        <f>E307+E310+E313+E316+E322+E319</f>
        <v>16181.699999999999</v>
      </c>
      <c r="F306" s="21">
        <f aca="true" t="shared" si="108" ref="F306:G306">F307+F310+F313+F316+F322+F319</f>
        <v>14349.3</v>
      </c>
      <c r="G306" s="21">
        <f t="shared" si="108"/>
        <v>14349.3</v>
      </c>
    </row>
    <row r="307" spans="1:7" ht="12.75">
      <c r="A307" s="59" t="s">
        <v>55</v>
      </c>
      <c r="B307" s="59">
        <v>1320220050</v>
      </c>
      <c r="C307" s="59"/>
      <c r="D307" s="60" t="s">
        <v>164</v>
      </c>
      <c r="E307" s="21">
        <f>E308</f>
        <v>13686.9</v>
      </c>
      <c r="F307" s="21">
        <f aca="true" t="shared" si="109" ref="F307:G308">F308</f>
        <v>11250</v>
      </c>
      <c r="G307" s="21">
        <f t="shared" si="109"/>
        <v>11250</v>
      </c>
    </row>
    <row r="308" spans="1:7" ht="31.5">
      <c r="A308" s="59" t="s">
        <v>55</v>
      </c>
      <c r="B308" s="59">
        <v>1320220050</v>
      </c>
      <c r="C308" s="61" t="s">
        <v>75</v>
      </c>
      <c r="D308" s="60" t="s">
        <v>110</v>
      </c>
      <c r="E308" s="21">
        <f>E309</f>
        <v>13686.9</v>
      </c>
      <c r="F308" s="21">
        <f t="shared" si="109"/>
        <v>11250</v>
      </c>
      <c r="G308" s="21">
        <f t="shared" si="109"/>
        <v>11250</v>
      </c>
    </row>
    <row r="309" spans="1:7" ht="31.9" customHeight="1">
      <c r="A309" s="59" t="s">
        <v>55</v>
      </c>
      <c r="B309" s="59">
        <v>1320220050</v>
      </c>
      <c r="C309" s="59">
        <v>240</v>
      </c>
      <c r="D309" s="199" t="s">
        <v>469</v>
      </c>
      <c r="E309" s="21">
        <f>'№4 '!F249</f>
        <v>13686.9</v>
      </c>
      <c r="F309" s="21">
        <f>'№4 '!G249</f>
        <v>11250</v>
      </c>
      <c r="G309" s="21">
        <f>'№4 '!H249</f>
        <v>11250</v>
      </c>
    </row>
    <row r="310" spans="1:7" ht="12.75">
      <c r="A310" s="59" t="s">
        <v>55</v>
      </c>
      <c r="B310" s="59">
        <v>1320220060</v>
      </c>
      <c r="C310" s="59"/>
      <c r="D310" s="60" t="s">
        <v>165</v>
      </c>
      <c r="E310" s="21">
        <f>E311</f>
        <v>193</v>
      </c>
      <c r="F310" s="21">
        <f aca="true" t="shared" si="110" ref="F310:G311">F311</f>
        <v>900</v>
      </c>
      <c r="G310" s="21">
        <f t="shared" si="110"/>
        <v>900</v>
      </c>
    </row>
    <row r="311" spans="1:7" ht="31.5">
      <c r="A311" s="59" t="s">
        <v>55</v>
      </c>
      <c r="B311" s="59">
        <v>1320220060</v>
      </c>
      <c r="C311" s="61" t="s">
        <v>75</v>
      </c>
      <c r="D311" s="60" t="s">
        <v>110</v>
      </c>
      <c r="E311" s="21">
        <f>E312</f>
        <v>193</v>
      </c>
      <c r="F311" s="21">
        <f t="shared" si="110"/>
        <v>900</v>
      </c>
      <c r="G311" s="21">
        <f t="shared" si="110"/>
        <v>900</v>
      </c>
    </row>
    <row r="312" spans="1:7" ht="34.9" customHeight="1">
      <c r="A312" s="59" t="s">
        <v>55</v>
      </c>
      <c r="B312" s="59">
        <v>1320220060</v>
      </c>
      <c r="C312" s="59">
        <v>240</v>
      </c>
      <c r="D312" s="199" t="s">
        <v>469</v>
      </c>
      <c r="E312" s="21">
        <f>'№4 '!F252</f>
        <v>193</v>
      </c>
      <c r="F312" s="21">
        <f>'№4 '!G252</f>
        <v>900</v>
      </c>
      <c r="G312" s="21">
        <f>'№4 '!H252</f>
        <v>900</v>
      </c>
    </row>
    <row r="313" spans="1:7" ht="12.75">
      <c r="A313" s="59" t="s">
        <v>55</v>
      </c>
      <c r="B313" s="59">
        <v>1320220070</v>
      </c>
      <c r="C313" s="59"/>
      <c r="D313" s="60" t="s">
        <v>166</v>
      </c>
      <c r="E313" s="21">
        <f>E314</f>
        <v>2113.9</v>
      </c>
      <c r="F313" s="21">
        <f aca="true" t="shared" si="111" ref="F313:G314">F314</f>
        <v>1795.4</v>
      </c>
      <c r="G313" s="21">
        <f t="shared" si="111"/>
        <v>1795.4</v>
      </c>
    </row>
    <row r="314" spans="1:7" ht="31.5">
      <c r="A314" s="59" t="s">
        <v>55</v>
      </c>
      <c r="B314" s="59">
        <v>1320220070</v>
      </c>
      <c r="C314" s="61" t="s">
        <v>75</v>
      </c>
      <c r="D314" s="60" t="s">
        <v>110</v>
      </c>
      <c r="E314" s="21">
        <f>E315</f>
        <v>2113.9</v>
      </c>
      <c r="F314" s="21">
        <f t="shared" si="111"/>
        <v>1795.4</v>
      </c>
      <c r="G314" s="21">
        <f t="shared" si="111"/>
        <v>1795.4</v>
      </c>
    </row>
    <row r="315" spans="1:7" ht="33" customHeight="1">
      <c r="A315" s="59" t="s">
        <v>55</v>
      </c>
      <c r="B315" s="59">
        <v>1320220070</v>
      </c>
      <c r="C315" s="59">
        <v>240</v>
      </c>
      <c r="D315" s="199" t="s">
        <v>469</v>
      </c>
      <c r="E315" s="21">
        <f>'№4 '!F255</f>
        <v>2113.9</v>
      </c>
      <c r="F315" s="21">
        <f>'№4 '!G255</f>
        <v>1795.4</v>
      </c>
      <c r="G315" s="21">
        <f>'№4 '!H255</f>
        <v>1795.4</v>
      </c>
    </row>
    <row r="316" spans="1:7" ht="12.75">
      <c r="A316" s="59" t="s">
        <v>55</v>
      </c>
      <c r="B316" s="59">
        <v>1320220080</v>
      </c>
      <c r="C316" s="59"/>
      <c r="D316" s="60" t="s">
        <v>167</v>
      </c>
      <c r="E316" s="21">
        <f>E317</f>
        <v>145.9</v>
      </c>
      <c r="F316" s="21">
        <f aca="true" t="shared" si="112" ref="F316:G317">F317</f>
        <v>145.9</v>
      </c>
      <c r="G316" s="21">
        <f t="shared" si="112"/>
        <v>145.9</v>
      </c>
    </row>
    <row r="317" spans="1:7" ht="31.5">
      <c r="A317" s="59" t="s">
        <v>55</v>
      </c>
      <c r="B317" s="59">
        <v>1320220080</v>
      </c>
      <c r="C317" s="61" t="s">
        <v>75</v>
      </c>
      <c r="D317" s="60" t="s">
        <v>110</v>
      </c>
      <c r="E317" s="21">
        <f>E318</f>
        <v>145.9</v>
      </c>
      <c r="F317" s="21">
        <f t="shared" si="112"/>
        <v>145.9</v>
      </c>
      <c r="G317" s="21">
        <f t="shared" si="112"/>
        <v>145.9</v>
      </c>
    </row>
    <row r="318" spans="1:7" ht="31.9" customHeight="1">
      <c r="A318" s="59" t="s">
        <v>55</v>
      </c>
      <c r="B318" s="59">
        <v>1320220080</v>
      </c>
      <c r="C318" s="59">
        <v>240</v>
      </c>
      <c r="D318" s="199" t="s">
        <v>469</v>
      </c>
      <c r="E318" s="21">
        <f>'№4 '!F258</f>
        <v>145.9</v>
      </c>
      <c r="F318" s="21">
        <f>'№4 '!G258</f>
        <v>145.9</v>
      </c>
      <c r="G318" s="21">
        <f>'№4 '!H258</f>
        <v>145.9</v>
      </c>
    </row>
    <row r="319" spans="1:7" ht="31.9" customHeight="1">
      <c r="A319" s="164" t="s">
        <v>55</v>
      </c>
      <c r="B319" s="170">
        <v>1320220090</v>
      </c>
      <c r="C319" s="170"/>
      <c r="D319" s="171" t="s">
        <v>442</v>
      </c>
      <c r="E319" s="21">
        <f>E320</f>
        <v>42</v>
      </c>
      <c r="F319" s="21">
        <f aca="true" t="shared" si="113" ref="F319:G320">F320</f>
        <v>0</v>
      </c>
      <c r="G319" s="21">
        <f t="shared" si="113"/>
        <v>0</v>
      </c>
    </row>
    <row r="320" spans="1:7" ht="31.9" customHeight="1">
      <c r="A320" s="164" t="s">
        <v>55</v>
      </c>
      <c r="B320" s="164">
        <v>1320220090</v>
      </c>
      <c r="C320" s="166" t="s">
        <v>75</v>
      </c>
      <c r="D320" s="165" t="s">
        <v>110</v>
      </c>
      <c r="E320" s="21">
        <f>E321</f>
        <v>42</v>
      </c>
      <c r="F320" s="21">
        <f t="shared" si="113"/>
        <v>0</v>
      </c>
      <c r="G320" s="21">
        <f t="shared" si="113"/>
        <v>0</v>
      </c>
    </row>
    <row r="321" spans="1:7" ht="31.9" customHeight="1">
      <c r="A321" s="164" t="s">
        <v>55</v>
      </c>
      <c r="B321" s="164">
        <v>1320220090</v>
      </c>
      <c r="C321" s="164">
        <v>240</v>
      </c>
      <c r="D321" s="199" t="s">
        <v>469</v>
      </c>
      <c r="E321" s="21">
        <f>'№4 '!F261</f>
        <v>42</v>
      </c>
      <c r="F321" s="21">
        <f>'№4 '!G261</f>
        <v>0</v>
      </c>
      <c r="G321" s="21">
        <f>'№4 '!H261</f>
        <v>0</v>
      </c>
    </row>
    <row r="322" spans="1:7" ht="31.5">
      <c r="A322" s="59" t="s">
        <v>55</v>
      </c>
      <c r="B322" s="59" t="s">
        <v>169</v>
      </c>
      <c r="C322" s="59"/>
      <c r="D322" s="60" t="s">
        <v>168</v>
      </c>
      <c r="E322" s="21">
        <f>E323</f>
        <v>0</v>
      </c>
      <c r="F322" s="21">
        <f aca="true" t="shared" si="114" ref="F322:G323">F323</f>
        <v>258</v>
      </c>
      <c r="G322" s="21">
        <f t="shared" si="114"/>
        <v>258</v>
      </c>
    </row>
    <row r="323" spans="1:7" ht="31.5">
      <c r="A323" s="59" t="s">
        <v>55</v>
      </c>
      <c r="B323" s="59" t="s">
        <v>169</v>
      </c>
      <c r="C323" s="61" t="s">
        <v>75</v>
      </c>
      <c r="D323" s="60" t="s">
        <v>110</v>
      </c>
      <c r="E323" s="21">
        <f>E324</f>
        <v>0</v>
      </c>
      <c r="F323" s="21">
        <f t="shared" si="114"/>
        <v>258</v>
      </c>
      <c r="G323" s="21">
        <f t="shared" si="114"/>
        <v>258</v>
      </c>
    </row>
    <row r="324" spans="1:7" ht="31.9" customHeight="1">
      <c r="A324" s="59" t="s">
        <v>55</v>
      </c>
      <c r="B324" s="59" t="s">
        <v>169</v>
      </c>
      <c r="C324" s="59">
        <v>240</v>
      </c>
      <c r="D324" s="199" t="s">
        <v>469</v>
      </c>
      <c r="E324" s="21">
        <f>'№4 '!F264</f>
        <v>0</v>
      </c>
      <c r="F324" s="21">
        <f>'№4 '!G264</f>
        <v>258</v>
      </c>
      <c r="G324" s="21">
        <f>'№4 '!H264</f>
        <v>258</v>
      </c>
    </row>
    <row r="325" spans="1:7" ht="17.25" customHeight="1">
      <c r="A325" s="59" t="s">
        <v>55</v>
      </c>
      <c r="B325" s="61">
        <v>1330000000</v>
      </c>
      <c r="C325" s="59"/>
      <c r="D325" s="60" t="s">
        <v>152</v>
      </c>
      <c r="E325" s="21">
        <f>E326</f>
        <v>265.8</v>
      </c>
      <c r="F325" s="21">
        <f aca="true" t="shared" si="115" ref="F325:G328">F326</f>
        <v>304</v>
      </c>
      <c r="G325" s="21">
        <f t="shared" si="115"/>
        <v>304</v>
      </c>
    </row>
    <row r="326" spans="1:7" ht="47.25">
      <c r="A326" s="59" t="s">
        <v>55</v>
      </c>
      <c r="B326" s="61">
        <v>1330200000</v>
      </c>
      <c r="C326" s="59"/>
      <c r="D326" s="60" t="s">
        <v>257</v>
      </c>
      <c r="E326" s="21">
        <f>E327</f>
        <v>265.8</v>
      </c>
      <c r="F326" s="21">
        <f t="shared" si="115"/>
        <v>304</v>
      </c>
      <c r="G326" s="21">
        <f t="shared" si="115"/>
        <v>304</v>
      </c>
    </row>
    <row r="327" spans="1:7" ht="12.75">
      <c r="A327" s="59" t="s">
        <v>55</v>
      </c>
      <c r="B327" s="61">
        <v>1330220090</v>
      </c>
      <c r="C327" s="59"/>
      <c r="D327" s="60" t="s">
        <v>170</v>
      </c>
      <c r="E327" s="21">
        <f>E328</f>
        <v>265.8</v>
      </c>
      <c r="F327" s="21">
        <f t="shared" si="115"/>
        <v>304</v>
      </c>
      <c r="G327" s="21">
        <f t="shared" si="115"/>
        <v>304</v>
      </c>
    </row>
    <row r="328" spans="1:7" ht="31.5">
      <c r="A328" s="59" t="s">
        <v>55</v>
      </c>
      <c r="B328" s="61">
        <v>1330220090</v>
      </c>
      <c r="C328" s="61" t="s">
        <v>75</v>
      </c>
      <c r="D328" s="60" t="s">
        <v>110</v>
      </c>
      <c r="E328" s="21">
        <f>E329</f>
        <v>265.8</v>
      </c>
      <c r="F328" s="21">
        <f t="shared" si="115"/>
        <v>304</v>
      </c>
      <c r="G328" s="21">
        <f t="shared" si="115"/>
        <v>304</v>
      </c>
    </row>
    <row r="329" spans="1:7" ht="34.9" customHeight="1">
      <c r="A329" s="59" t="s">
        <v>55</v>
      </c>
      <c r="B329" s="61">
        <v>1330220090</v>
      </c>
      <c r="C329" s="59">
        <v>240</v>
      </c>
      <c r="D329" s="199" t="s">
        <v>469</v>
      </c>
      <c r="E329" s="21">
        <f>'№4 '!F269</f>
        <v>265.8</v>
      </c>
      <c r="F329" s="21">
        <f>'№4 '!G269</f>
        <v>304</v>
      </c>
      <c r="G329" s="21">
        <f>'№4 '!H269</f>
        <v>304</v>
      </c>
    </row>
    <row r="330" spans="1:7" ht="12.75">
      <c r="A330" s="5" t="s">
        <v>42</v>
      </c>
      <c r="B330" s="5" t="s">
        <v>72</v>
      </c>
      <c r="C330" s="5" t="s">
        <v>72</v>
      </c>
      <c r="D330" s="6" t="s">
        <v>34</v>
      </c>
      <c r="E330" s="7">
        <f>E331+E357+E469+E505+E425+E462</f>
        <v>478059.10000000003</v>
      </c>
      <c r="F330" s="7">
        <f>F331+F357+F469+F505+F425+F462</f>
        <v>429228.50000000006</v>
      </c>
      <c r="G330" s="7">
        <f>G331+G357+G469+G505+G425+G462</f>
        <v>429228.50000000006</v>
      </c>
    </row>
    <row r="331" spans="1:7" ht="12.75">
      <c r="A331" s="62" t="s">
        <v>56</v>
      </c>
      <c r="B331" s="62" t="s">
        <v>72</v>
      </c>
      <c r="C331" s="62" t="s">
        <v>72</v>
      </c>
      <c r="D331" s="15" t="s">
        <v>14</v>
      </c>
      <c r="E331" s="8">
        <f>E332+E351</f>
        <v>178050.7</v>
      </c>
      <c r="F331" s="8">
        <f aca="true" t="shared" si="116" ref="F331:G332">F332</f>
        <v>161779</v>
      </c>
      <c r="G331" s="8">
        <f t="shared" si="116"/>
        <v>161779</v>
      </c>
    </row>
    <row r="332" spans="1:7" ht="33" customHeight="1">
      <c r="A332" s="59" t="s">
        <v>56</v>
      </c>
      <c r="B332" s="61">
        <v>1100000000</v>
      </c>
      <c r="C332" s="59"/>
      <c r="D332" s="60" t="s">
        <v>247</v>
      </c>
      <c r="E332" s="21">
        <f>E333</f>
        <v>177397.2</v>
      </c>
      <c r="F332" s="21">
        <f t="shared" si="116"/>
        <v>161779</v>
      </c>
      <c r="G332" s="21">
        <f t="shared" si="116"/>
        <v>161779</v>
      </c>
    </row>
    <row r="333" spans="1:7" ht="12.75">
      <c r="A333" s="59" t="s">
        <v>56</v>
      </c>
      <c r="B333" s="59">
        <v>1110000000</v>
      </c>
      <c r="C333" s="59"/>
      <c r="D333" s="31" t="s">
        <v>225</v>
      </c>
      <c r="E333" s="21">
        <f>E334+E347</f>
        <v>177397.2</v>
      </c>
      <c r="F333" s="21">
        <f aca="true" t="shared" si="117" ref="F333:G333">F334+F347</f>
        <v>161779</v>
      </c>
      <c r="G333" s="21">
        <f t="shared" si="117"/>
        <v>161779</v>
      </c>
    </row>
    <row r="334" spans="1:7" ht="47.25">
      <c r="A334" s="59" t="s">
        <v>56</v>
      </c>
      <c r="B334" s="59">
        <v>1110100000</v>
      </c>
      <c r="C334" s="31"/>
      <c r="D334" s="31" t="s">
        <v>226</v>
      </c>
      <c r="E334" s="21">
        <f>E341+E338+E335+E344</f>
        <v>176979</v>
      </c>
      <c r="F334" s="21">
        <f aca="true" t="shared" si="118" ref="F334:G334">F341+F338+F335+F344</f>
        <v>161779</v>
      </c>
      <c r="G334" s="21">
        <f t="shared" si="118"/>
        <v>161779</v>
      </c>
    </row>
    <row r="335" spans="1:7" ht="47.25">
      <c r="A335" s="3" t="s">
        <v>56</v>
      </c>
      <c r="B335" s="11" t="s">
        <v>365</v>
      </c>
      <c r="C335" s="13"/>
      <c r="D335" s="9" t="s">
        <v>366</v>
      </c>
      <c r="E335" s="21">
        <f>E336</f>
        <v>8272.8</v>
      </c>
      <c r="F335" s="21">
        <f aca="true" t="shared" si="119" ref="F335:G336">F336</f>
        <v>0</v>
      </c>
      <c r="G335" s="21">
        <f t="shared" si="119"/>
        <v>0</v>
      </c>
    </row>
    <row r="336" spans="1:7" ht="31.5">
      <c r="A336" s="3" t="s">
        <v>56</v>
      </c>
      <c r="B336" s="11" t="s">
        <v>365</v>
      </c>
      <c r="C336" s="86" t="s">
        <v>112</v>
      </c>
      <c r="D336" s="85" t="s">
        <v>113</v>
      </c>
      <c r="E336" s="21">
        <f>E337</f>
        <v>8272.8</v>
      </c>
      <c r="F336" s="21">
        <f t="shared" si="119"/>
        <v>0</v>
      </c>
      <c r="G336" s="21">
        <f t="shared" si="119"/>
        <v>0</v>
      </c>
    </row>
    <row r="337" spans="1:7" ht="12.75">
      <c r="A337" s="3" t="s">
        <v>56</v>
      </c>
      <c r="B337" s="11" t="s">
        <v>365</v>
      </c>
      <c r="C337" s="84">
        <v>610</v>
      </c>
      <c r="D337" s="85" t="s">
        <v>130</v>
      </c>
      <c r="E337" s="21">
        <f>'№4 '!F700</f>
        <v>8272.8</v>
      </c>
      <c r="F337" s="21">
        <f>'№4 '!G700</f>
        <v>0</v>
      </c>
      <c r="G337" s="21">
        <f>'№4 '!H700</f>
        <v>0</v>
      </c>
    </row>
    <row r="338" spans="1:7" ht="50.25" customHeight="1">
      <c r="A338" s="3" t="s">
        <v>56</v>
      </c>
      <c r="B338" s="11" t="s">
        <v>228</v>
      </c>
      <c r="C338" s="13"/>
      <c r="D338" s="9" t="s">
        <v>129</v>
      </c>
      <c r="E338" s="21">
        <f>E339</f>
        <v>93485.5</v>
      </c>
      <c r="F338" s="21">
        <f aca="true" t="shared" si="120" ref="F338:G339">F339</f>
        <v>87964.5</v>
      </c>
      <c r="G338" s="21">
        <f t="shared" si="120"/>
        <v>87964.5</v>
      </c>
    </row>
    <row r="339" spans="1:7" ht="31.5">
      <c r="A339" s="3" t="s">
        <v>56</v>
      </c>
      <c r="B339" s="11" t="s">
        <v>228</v>
      </c>
      <c r="C339" s="61" t="s">
        <v>112</v>
      </c>
      <c r="D339" s="60" t="s">
        <v>113</v>
      </c>
      <c r="E339" s="21">
        <f>E340</f>
        <v>93485.5</v>
      </c>
      <c r="F339" s="21">
        <f t="shared" si="120"/>
        <v>87964.5</v>
      </c>
      <c r="G339" s="21">
        <f t="shared" si="120"/>
        <v>87964.5</v>
      </c>
    </row>
    <row r="340" spans="1:7" ht="12.75">
      <c r="A340" s="3" t="s">
        <v>56</v>
      </c>
      <c r="B340" s="11" t="s">
        <v>228</v>
      </c>
      <c r="C340" s="59">
        <v>610</v>
      </c>
      <c r="D340" s="60" t="s">
        <v>130</v>
      </c>
      <c r="E340" s="21">
        <f>'№4 '!F703</f>
        <v>93485.5</v>
      </c>
      <c r="F340" s="21">
        <f>'№4 '!G703</f>
        <v>87964.5</v>
      </c>
      <c r="G340" s="21">
        <f>'№4 '!H703</f>
        <v>87964.5</v>
      </c>
    </row>
    <row r="341" spans="1:7" ht="31.5">
      <c r="A341" s="3" t="s">
        <v>56</v>
      </c>
      <c r="B341" s="11" t="s">
        <v>227</v>
      </c>
      <c r="C341" s="11"/>
      <c r="D341" s="9" t="s">
        <v>151</v>
      </c>
      <c r="E341" s="21">
        <f>E342</f>
        <v>74393.5</v>
      </c>
      <c r="F341" s="21">
        <f aca="true" t="shared" si="121" ref="F341:G342">F342</f>
        <v>73814.5</v>
      </c>
      <c r="G341" s="21">
        <f t="shared" si="121"/>
        <v>73814.5</v>
      </c>
    </row>
    <row r="342" spans="1:7" ht="31.5">
      <c r="A342" s="3" t="s">
        <v>56</v>
      </c>
      <c r="B342" s="11" t="s">
        <v>227</v>
      </c>
      <c r="C342" s="61" t="s">
        <v>112</v>
      </c>
      <c r="D342" s="60" t="s">
        <v>113</v>
      </c>
      <c r="E342" s="21">
        <f>E343</f>
        <v>74393.5</v>
      </c>
      <c r="F342" s="21">
        <f t="shared" si="121"/>
        <v>73814.5</v>
      </c>
      <c r="G342" s="21">
        <f t="shared" si="121"/>
        <v>73814.5</v>
      </c>
    </row>
    <row r="343" spans="1:7" ht="12.75">
      <c r="A343" s="3" t="s">
        <v>56</v>
      </c>
      <c r="B343" s="11" t="s">
        <v>227</v>
      </c>
      <c r="C343" s="59">
        <v>610</v>
      </c>
      <c r="D343" s="60" t="s">
        <v>130</v>
      </c>
      <c r="E343" s="21">
        <f>'№4 '!F706</f>
        <v>74393.5</v>
      </c>
      <c r="F343" s="21">
        <f>'№4 '!G706</f>
        <v>73814.5</v>
      </c>
      <c r="G343" s="21">
        <f>'№4 '!H706</f>
        <v>73814.5</v>
      </c>
    </row>
    <row r="344" spans="1:7" ht="47.25">
      <c r="A344" s="3" t="s">
        <v>56</v>
      </c>
      <c r="B344" s="11" t="s">
        <v>368</v>
      </c>
      <c r="C344" s="13"/>
      <c r="D344" s="9" t="s">
        <v>366</v>
      </c>
      <c r="E344" s="21">
        <f>E345</f>
        <v>827.1999999999999</v>
      </c>
      <c r="F344" s="21">
        <f aca="true" t="shared" si="122" ref="F344:G345">F345</f>
        <v>0</v>
      </c>
      <c r="G344" s="21">
        <f t="shared" si="122"/>
        <v>0</v>
      </c>
    </row>
    <row r="345" spans="1:7" ht="31.5">
      <c r="A345" s="3" t="s">
        <v>56</v>
      </c>
      <c r="B345" s="11" t="s">
        <v>368</v>
      </c>
      <c r="C345" s="89" t="s">
        <v>112</v>
      </c>
      <c r="D345" s="88" t="s">
        <v>113</v>
      </c>
      <c r="E345" s="21">
        <f>E346</f>
        <v>827.1999999999999</v>
      </c>
      <c r="F345" s="21">
        <f t="shared" si="122"/>
        <v>0</v>
      </c>
      <c r="G345" s="21">
        <f t="shared" si="122"/>
        <v>0</v>
      </c>
    </row>
    <row r="346" spans="1:7" ht="12.75">
      <c r="A346" s="3" t="s">
        <v>56</v>
      </c>
      <c r="B346" s="11" t="s">
        <v>368</v>
      </c>
      <c r="C346" s="87">
        <v>610</v>
      </c>
      <c r="D346" s="88" t="s">
        <v>130</v>
      </c>
      <c r="E346" s="21">
        <f>'№4 '!F709</f>
        <v>827.1999999999999</v>
      </c>
      <c r="F346" s="21">
        <f>'№4 '!G709</f>
        <v>0</v>
      </c>
      <c r="G346" s="21">
        <f>'№4 '!H709</f>
        <v>0</v>
      </c>
    </row>
    <row r="347" spans="1:7" ht="63">
      <c r="A347" s="3" t="s">
        <v>56</v>
      </c>
      <c r="B347" s="68">
        <v>1110500000</v>
      </c>
      <c r="C347" s="68"/>
      <c r="D347" s="69" t="s">
        <v>233</v>
      </c>
      <c r="E347" s="21">
        <f>E348</f>
        <v>418.2</v>
      </c>
      <c r="F347" s="21">
        <f aca="true" t="shared" si="123" ref="F347:G349">F348</f>
        <v>0</v>
      </c>
      <c r="G347" s="21">
        <f t="shared" si="123"/>
        <v>0</v>
      </c>
    </row>
    <row r="348" spans="1:7" ht="19.5" customHeight="1">
      <c r="A348" s="3" t="s">
        <v>56</v>
      </c>
      <c r="B348" s="11" t="s">
        <v>338</v>
      </c>
      <c r="C348" s="68"/>
      <c r="D348" s="69" t="s">
        <v>339</v>
      </c>
      <c r="E348" s="21">
        <f>E349</f>
        <v>418.2</v>
      </c>
      <c r="F348" s="21">
        <f t="shared" si="123"/>
        <v>0</v>
      </c>
      <c r="G348" s="21">
        <f t="shared" si="123"/>
        <v>0</v>
      </c>
    </row>
    <row r="349" spans="1:7" ht="31.5">
      <c r="A349" s="3" t="s">
        <v>56</v>
      </c>
      <c r="B349" s="11" t="s">
        <v>338</v>
      </c>
      <c r="C349" s="70" t="s">
        <v>112</v>
      </c>
      <c r="D349" s="69" t="s">
        <v>113</v>
      </c>
      <c r="E349" s="21">
        <f>E350</f>
        <v>418.2</v>
      </c>
      <c r="F349" s="21">
        <f t="shared" si="123"/>
        <v>0</v>
      </c>
      <c r="G349" s="21">
        <f t="shared" si="123"/>
        <v>0</v>
      </c>
    </row>
    <row r="350" spans="1:7" ht="12.75">
      <c r="A350" s="3" t="s">
        <v>56</v>
      </c>
      <c r="B350" s="11" t="s">
        <v>338</v>
      </c>
      <c r="C350" s="68">
        <v>610</v>
      </c>
      <c r="D350" s="69" t="s">
        <v>130</v>
      </c>
      <c r="E350" s="21">
        <f>'№4 '!F713</f>
        <v>418.2</v>
      </c>
      <c r="F350" s="21">
        <f>'№4 '!G713</f>
        <v>0</v>
      </c>
      <c r="G350" s="21">
        <f>'№4 '!H713</f>
        <v>0</v>
      </c>
    </row>
    <row r="351" spans="1:7" ht="31.5">
      <c r="A351" s="3" t="s">
        <v>56</v>
      </c>
      <c r="B351" s="105">
        <v>1500000000</v>
      </c>
      <c r="C351" s="103"/>
      <c r="D351" s="104" t="s">
        <v>243</v>
      </c>
      <c r="E351" s="21">
        <f>E352</f>
        <v>653.5</v>
      </c>
      <c r="F351" s="21">
        <f aca="true" t="shared" si="124" ref="F351:G355">F352</f>
        <v>0</v>
      </c>
      <c r="G351" s="21">
        <f t="shared" si="124"/>
        <v>0</v>
      </c>
    </row>
    <row r="352" spans="1:7" ht="31.5">
      <c r="A352" s="3" t="s">
        <v>56</v>
      </c>
      <c r="B352" s="105">
        <v>1520000000</v>
      </c>
      <c r="C352" s="103"/>
      <c r="D352" s="104" t="s">
        <v>235</v>
      </c>
      <c r="E352" s="21">
        <f>E353</f>
        <v>653.5</v>
      </c>
      <c r="F352" s="21">
        <f t="shared" si="124"/>
        <v>0</v>
      </c>
      <c r="G352" s="21">
        <f t="shared" si="124"/>
        <v>0</v>
      </c>
    </row>
    <row r="353" spans="1:7" ht="63">
      <c r="A353" s="3" t="s">
        <v>56</v>
      </c>
      <c r="B353" s="103">
        <v>1520100000</v>
      </c>
      <c r="C353" s="103"/>
      <c r="D353" s="104" t="s">
        <v>311</v>
      </c>
      <c r="E353" s="21">
        <f>E354</f>
        <v>653.5</v>
      </c>
      <c r="F353" s="21">
        <f t="shared" si="124"/>
        <v>0</v>
      </c>
      <c r="G353" s="21">
        <f t="shared" si="124"/>
        <v>0</v>
      </c>
    </row>
    <row r="354" spans="1:7" ht="31.5">
      <c r="A354" s="3" t="s">
        <v>56</v>
      </c>
      <c r="B354" s="11" t="s">
        <v>376</v>
      </c>
      <c r="C354" s="103"/>
      <c r="D354" s="111" t="s">
        <v>382</v>
      </c>
      <c r="E354" s="21">
        <f>E355</f>
        <v>653.5</v>
      </c>
      <c r="F354" s="21">
        <f t="shared" si="124"/>
        <v>0</v>
      </c>
      <c r="G354" s="21">
        <f t="shared" si="124"/>
        <v>0</v>
      </c>
    </row>
    <row r="355" spans="1:7" ht="31.5">
      <c r="A355" s="3" t="s">
        <v>56</v>
      </c>
      <c r="B355" s="11" t="s">
        <v>376</v>
      </c>
      <c r="C355" s="105" t="s">
        <v>112</v>
      </c>
      <c r="D355" s="104" t="s">
        <v>113</v>
      </c>
      <c r="E355" s="21">
        <f>E356</f>
        <v>653.5</v>
      </c>
      <c r="F355" s="21">
        <f t="shared" si="124"/>
        <v>0</v>
      </c>
      <c r="G355" s="21">
        <f t="shared" si="124"/>
        <v>0</v>
      </c>
    </row>
    <row r="356" spans="1:7" ht="12.75">
      <c r="A356" s="3" t="s">
        <v>56</v>
      </c>
      <c r="B356" s="11" t="s">
        <v>376</v>
      </c>
      <c r="C356" s="103">
        <v>610</v>
      </c>
      <c r="D356" s="104" t="s">
        <v>130</v>
      </c>
      <c r="E356" s="21">
        <v>653.5</v>
      </c>
      <c r="F356" s="21">
        <v>0</v>
      </c>
      <c r="G356" s="21">
        <v>0</v>
      </c>
    </row>
    <row r="357" spans="1:7" ht="12.75">
      <c r="A357" s="59" t="s">
        <v>57</v>
      </c>
      <c r="B357" s="59" t="s">
        <v>72</v>
      </c>
      <c r="C357" s="59" t="s">
        <v>72</v>
      </c>
      <c r="D357" s="31" t="s">
        <v>15</v>
      </c>
      <c r="E357" s="21">
        <f>E358+E410+E420</f>
        <v>244140.79999999996</v>
      </c>
      <c r="F357" s="21">
        <f>F358+F410+F420</f>
        <v>224204.30000000002</v>
      </c>
      <c r="G357" s="21">
        <f>G358+G410+G420</f>
        <v>224204.30000000002</v>
      </c>
    </row>
    <row r="358" spans="1:7" ht="34.5" customHeight="1">
      <c r="A358" s="59" t="s">
        <v>57</v>
      </c>
      <c r="B358" s="61">
        <v>1100000000</v>
      </c>
      <c r="C358" s="59"/>
      <c r="D358" s="60" t="s">
        <v>247</v>
      </c>
      <c r="E358" s="21">
        <f>E359+E397+E402</f>
        <v>243498.39999999997</v>
      </c>
      <c r="F358" s="21">
        <f>F359+F397+F402</f>
        <v>224204.30000000002</v>
      </c>
      <c r="G358" s="21">
        <f>G359+G397+G402</f>
        <v>224204.30000000002</v>
      </c>
    </row>
    <row r="359" spans="1:7" ht="12.75">
      <c r="A359" s="59" t="s">
        <v>57</v>
      </c>
      <c r="B359" s="59">
        <v>1110000000</v>
      </c>
      <c r="C359" s="59"/>
      <c r="D359" s="31" t="s">
        <v>225</v>
      </c>
      <c r="E359" s="21">
        <f>E360+E373+E380+E390</f>
        <v>239629.89999999997</v>
      </c>
      <c r="F359" s="21">
        <f>F360+F373+F380+F390</f>
        <v>220489.80000000002</v>
      </c>
      <c r="G359" s="21">
        <f>G360+G373+G380+G390</f>
        <v>220489.80000000002</v>
      </c>
    </row>
    <row r="360" spans="1:7" ht="47.25">
      <c r="A360" s="59" t="s">
        <v>57</v>
      </c>
      <c r="B360" s="59">
        <v>1110100000</v>
      </c>
      <c r="C360" s="31"/>
      <c r="D360" s="31" t="s">
        <v>226</v>
      </c>
      <c r="E360" s="21">
        <f>E367+E364+E361+E370</f>
        <v>221490.59999999998</v>
      </c>
      <c r="F360" s="21">
        <f aca="true" t="shared" si="125" ref="F360:G360">F367+F364+F361+F370</f>
        <v>216144.5</v>
      </c>
      <c r="G360" s="21">
        <f t="shared" si="125"/>
        <v>216144.5</v>
      </c>
    </row>
    <row r="361" spans="1:7" ht="47.25">
      <c r="A361" s="84" t="s">
        <v>57</v>
      </c>
      <c r="B361" s="11" t="s">
        <v>365</v>
      </c>
      <c r="C361" s="13"/>
      <c r="D361" s="9" t="s">
        <v>366</v>
      </c>
      <c r="E361" s="21">
        <f>E362</f>
        <v>1264.1000000000001</v>
      </c>
      <c r="F361" s="21">
        <f aca="true" t="shared" si="126" ref="F361:G362">F362</f>
        <v>0</v>
      </c>
      <c r="G361" s="21">
        <f t="shared" si="126"/>
        <v>0</v>
      </c>
    </row>
    <row r="362" spans="1:7" ht="31.5">
      <c r="A362" s="84" t="s">
        <v>57</v>
      </c>
      <c r="B362" s="11" t="s">
        <v>365</v>
      </c>
      <c r="C362" s="86" t="s">
        <v>112</v>
      </c>
      <c r="D362" s="85" t="s">
        <v>113</v>
      </c>
      <c r="E362" s="21">
        <f>E363</f>
        <v>1264.1000000000001</v>
      </c>
      <c r="F362" s="21">
        <f t="shared" si="126"/>
        <v>0</v>
      </c>
      <c r="G362" s="21">
        <f t="shared" si="126"/>
        <v>0</v>
      </c>
    </row>
    <row r="363" spans="1:7" ht="12.75">
      <c r="A363" s="84" t="s">
        <v>57</v>
      </c>
      <c r="B363" s="11" t="s">
        <v>365</v>
      </c>
      <c r="C363" s="84">
        <v>610</v>
      </c>
      <c r="D363" s="85" t="s">
        <v>130</v>
      </c>
      <c r="E363" s="21">
        <f>'№4 '!F726</f>
        <v>1264.1000000000001</v>
      </c>
      <c r="F363" s="21">
        <f>'№4 '!G726</f>
        <v>0</v>
      </c>
      <c r="G363" s="21">
        <f>'№4 '!H726</f>
        <v>0</v>
      </c>
    </row>
    <row r="364" spans="1:7" ht="94.5">
      <c r="A364" s="59" t="s">
        <v>57</v>
      </c>
      <c r="B364" s="59">
        <v>1110110750</v>
      </c>
      <c r="C364" s="59"/>
      <c r="D364" s="31" t="s">
        <v>229</v>
      </c>
      <c r="E364" s="21">
        <f>E365</f>
        <v>180708.3</v>
      </c>
      <c r="F364" s="21">
        <f aca="true" t="shared" si="127" ref="F364:G365">F365</f>
        <v>176961.6</v>
      </c>
      <c r="G364" s="21">
        <f t="shared" si="127"/>
        <v>176961.6</v>
      </c>
    </row>
    <row r="365" spans="1:7" ht="31.5">
      <c r="A365" s="59" t="s">
        <v>57</v>
      </c>
      <c r="B365" s="59">
        <v>1110110750</v>
      </c>
      <c r="C365" s="61" t="s">
        <v>112</v>
      </c>
      <c r="D365" s="60" t="s">
        <v>113</v>
      </c>
      <c r="E365" s="21">
        <f>E366</f>
        <v>180708.3</v>
      </c>
      <c r="F365" s="21">
        <f t="shared" si="127"/>
        <v>176961.6</v>
      </c>
      <c r="G365" s="21">
        <f t="shared" si="127"/>
        <v>176961.6</v>
      </c>
    </row>
    <row r="366" spans="1:7" ht="12.75">
      <c r="A366" s="59" t="s">
        <v>57</v>
      </c>
      <c r="B366" s="59">
        <v>1110110750</v>
      </c>
      <c r="C366" s="59">
        <v>610</v>
      </c>
      <c r="D366" s="60" t="s">
        <v>130</v>
      </c>
      <c r="E366" s="21">
        <f>'№4 '!F729</f>
        <v>180708.3</v>
      </c>
      <c r="F366" s="21">
        <f>'№4 '!G729</f>
        <v>176961.6</v>
      </c>
      <c r="G366" s="21">
        <f>'№4 '!H729</f>
        <v>176961.6</v>
      </c>
    </row>
    <row r="367" spans="1:7" ht="31.5">
      <c r="A367" s="59" t="s">
        <v>57</v>
      </c>
      <c r="B367" s="11" t="s">
        <v>227</v>
      </c>
      <c r="C367" s="11"/>
      <c r="D367" s="9" t="s">
        <v>151</v>
      </c>
      <c r="E367" s="21">
        <f>E368</f>
        <v>39391.8</v>
      </c>
      <c r="F367" s="21">
        <f aca="true" t="shared" si="128" ref="F367:G368">F368</f>
        <v>39182.9</v>
      </c>
      <c r="G367" s="21">
        <f t="shared" si="128"/>
        <v>39182.9</v>
      </c>
    </row>
    <row r="368" spans="1:7" ht="31.5">
      <c r="A368" s="59" t="s">
        <v>57</v>
      </c>
      <c r="B368" s="11" t="s">
        <v>227</v>
      </c>
      <c r="C368" s="61" t="s">
        <v>112</v>
      </c>
      <c r="D368" s="60" t="s">
        <v>113</v>
      </c>
      <c r="E368" s="21">
        <f>E369</f>
        <v>39391.8</v>
      </c>
      <c r="F368" s="21">
        <f t="shared" si="128"/>
        <v>39182.9</v>
      </c>
      <c r="G368" s="21">
        <f t="shared" si="128"/>
        <v>39182.9</v>
      </c>
    </row>
    <row r="369" spans="1:7" ht="12.75">
      <c r="A369" s="59" t="s">
        <v>57</v>
      </c>
      <c r="B369" s="11" t="s">
        <v>227</v>
      </c>
      <c r="C369" s="59">
        <v>610</v>
      </c>
      <c r="D369" s="60" t="s">
        <v>130</v>
      </c>
      <c r="E369" s="21">
        <f>'№4 '!F732</f>
        <v>39391.8</v>
      </c>
      <c r="F369" s="21">
        <f>'№4 '!G732</f>
        <v>39182.9</v>
      </c>
      <c r="G369" s="21">
        <f>'№4 '!H732</f>
        <v>39182.9</v>
      </c>
    </row>
    <row r="370" spans="1:7" ht="47.25">
      <c r="A370" s="87" t="s">
        <v>57</v>
      </c>
      <c r="B370" s="11" t="s">
        <v>368</v>
      </c>
      <c r="C370" s="13"/>
      <c r="D370" s="9" t="s">
        <v>366</v>
      </c>
      <c r="E370" s="21">
        <f>E371</f>
        <v>126.39999999999999</v>
      </c>
      <c r="F370" s="21">
        <f aca="true" t="shared" si="129" ref="F370:G371">F371</f>
        <v>0</v>
      </c>
      <c r="G370" s="21">
        <f t="shared" si="129"/>
        <v>0</v>
      </c>
    </row>
    <row r="371" spans="1:7" ht="31.5">
      <c r="A371" s="87" t="s">
        <v>57</v>
      </c>
      <c r="B371" s="11" t="s">
        <v>368</v>
      </c>
      <c r="C371" s="89" t="s">
        <v>112</v>
      </c>
      <c r="D371" s="88" t="s">
        <v>113</v>
      </c>
      <c r="E371" s="21">
        <f>E372</f>
        <v>126.39999999999999</v>
      </c>
      <c r="F371" s="21">
        <f t="shared" si="129"/>
        <v>0</v>
      </c>
      <c r="G371" s="21">
        <f t="shared" si="129"/>
        <v>0</v>
      </c>
    </row>
    <row r="372" spans="1:7" ht="12.75">
      <c r="A372" s="87" t="s">
        <v>57</v>
      </c>
      <c r="B372" s="11" t="s">
        <v>368</v>
      </c>
      <c r="C372" s="87">
        <v>610</v>
      </c>
      <c r="D372" s="88" t="s">
        <v>130</v>
      </c>
      <c r="E372" s="21">
        <f>'№4 '!F735</f>
        <v>126.39999999999999</v>
      </c>
      <c r="F372" s="21">
        <f>'№4 '!G735</f>
        <v>0</v>
      </c>
      <c r="G372" s="21">
        <f>'№4 '!H735</f>
        <v>0</v>
      </c>
    </row>
    <row r="373" spans="1:7" ht="31.5">
      <c r="A373" s="59" t="s">
        <v>57</v>
      </c>
      <c r="B373" s="59">
        <v>1110300000</v>
      </c>
      <c r="C373" s="59"/>
      <c r="D373" s="31" t="s">
        <v>230</v>
      </c>
      <c r="E373" s="21">
        <f>E377+E374</f>
        <v>8326</v>
      </c>
      <c r="F373" s="21">
        <f aca="true" t="shared" si="130" ref="F373:G373">F377+F374</f>
        <v>4201.2</v>
      </c>
      <c r="G373" s="21">
        <f t="shared" si="130"/>
        <v>4201.2</v>
      </c>
    </row>
    <row r="374" spans="1:7" ht="47.25">
      <c r="A374" s="59" t="s">
        <v>57</v>
      </c>
      <c r="B374" s="59">
        <v>1110310230</v>
      </c>
      <c r="C374" s="59"/>
      <c r="D374" s="60" t="s">
        <v>313</v>
      </c>
      <c r="E374" s="21">
        <f>E375</f>
        <v>4163</v>
      </c>
      <c r="F374" s="21">
        <f aca="true" t="shared" si="131" ref="F374:G375">F375</f>
        <v>0</v>
      </c>
      <c r="G374" s="21">
        <f t="shared" si="131"/>
        <v>0</v>
      </c>
    </row>
    <row r="375" spans="1:7" ht="31.5">
      <c r="A375" s="59" t="s">
        <v>57</v>
      </c>
      <c r="B375" s="59">
        <v>1110310230</v>
      </c>
      <c r="C375" s="61" t="s">
        <v>112</v>
      </c>
      <c r="D375" s="60" t="s">
        <v>113</v>
      </c>
      <c r="E375" s="21">
        <f>E376</f>
        <v>4163</v>
      </c>
      <c r="F375" s="21">
        <f t="shared" si="131"/>
        <v>0</v>
      </c>
      <c r="G375" s="21">
        <f t="shared" si="131"/>
        <v>0</v>
      </c>
    </row>
    <row r="376" spans="1:7" ht="12.75">
      <c r="A376" s="59" t="s">
        <v>57</v>
      </c>
      <c r="B376" s="59">
        <v>1110310230</v>
      </c>
      <c r="C376" s="59">
        <v>610</v>
      </c>
      <c r="D376" s="60" t="s">
        <v>130</v>
      </c>
      <c r="E376" s="21">
        <f>'№4 '!F739</f>
        <v>4163</v>
      </c>
      <c r="F376" s="21">
        <f>'№4 '!G739</f>
        <v>0</v>
      </c>
      <c r="G376" s="21">
        <f>'№4 '!H739</f>
        <v>0</v>
      </c>
    </row>
    <row r="377" spans="1:7" ht="47.25">
      <c r="A377" s="59" t="s">
        <v>57</v>
      </c>
      <c r="B377" s="59" t="s">
        <v>232</v>
      </c>
      <c r="C377" s="59"/>
      <c r="D377" s="31" t="s">
        <v>231</v>
      </c>
      <c r="E377" s="21">
        <f>E378</f>
        <v>4163</v>
      </c>
      <c r="F377" s="21">
        <f aca="true" t="shared" si="132" ref="F377:G378">F378</f>
        <v>4201.2</v>
      </c>
      <c r="G377" s="21">
        <f t="shared" si="132"/>
        <v>4201.2</v>
      </c>
    </row>
    <row r="378" spans="1:7" ht="31.5">
      <c r="A378" s="59" t="s">
        <v>57</v>
      </c>
      <c r="B378" s="59" t="s">
        <v>232</v>
      </c>
      <c r="C378" s="61" t="s">
        <v>112</v>
      </c>
      <c r="D378" s="60" t="s">
        <v>113</v>
      </c>
      <c r="E378" s="21">
        <f>E379</f>
        <v>4163</v>
      </c>
      <c r="F378" s="21">
        <f t="shared" si="132"/>
        <v>4201.2</v>
      </c>
      <c r="G378" s="21">
        <f t="shared" si="132"/>
        <v>4201.2</v>
      </c>
    </row>
    <row r="379" spans="1:7" ht="12.75">
      <c r="A379" s="59" t="s">
        <v>57</v>
      </c>
      <c r="B379" s="59" t="s">
        <v>232</v>
      </c>
      <c r="C379" s="59">
        <v>610</v>
      </c>
      <c r="D379" s="60" t="s">
        <v>130</v>
      </c>
      <c r="E379" s="21">
        <f>'№4 '!F742</f>
        <v>4163</v>
      </c>
      <c r="F379" s="21">
        <f>'№4 '!G742</f>
        <v>4201.2</v>
      </c>
      <c r="G379" s="21">
        <f>'№4 '!H742</f>
        <v>4201.2</v>
      </c>
    </row>
    <row r="380" spans="1:7" ht="63">
      <c r="A380" s="59" t="s">
        <v>57</v>
      </c>
      <c r="B380" s="59">
        <v>1110500000</v>
      </c>
      <c r="C380" s="59"/>
      <c r="D380" s="31" t="s">
        <v>233</v>
      </c>
      <c r="E380" s="21">
        <f>E384+E381+E387</f>
        <v>9551.3</v>
      </c>
      <c r="F380" s="21">
        <f aca="true" t="shared" si="133" ref="F380:G380">F384+F381+F387</f>
        <v>0</v>
      </c>
      <c r="G380" s="21">
        <f t="shared" si="133"/>
        <v>0</v>
      </c>
    </row>
    <row r="381" spans="1:7" ht="47.25">
      <c r="A381" s="59" t="s">
        <v>57</v>
      </c>
      <c r="B381" s="59">
        <v>1110510440</v>
      </c>
      <c r="C381" s="59"/>
      <c r="D381" s="60" t="s">
        <v>328</v>
      </c>
      <c r="E381" s="21">
        <f>E382</f>
        <v>6050.099999999999</v>
      </c>
      <c r="F381" s="21">
        <f aca="true" t="shared" si="134" ref="F381:G382">F382</f>
        <v>0</v>
      </c>
      <c r="G381" s="21">
        <f t="shared" si="134"/>
        <v>0</v>
      </c>
    </row>
    <row r="382" spans="1:7" ht="31.5">
      <c r="A382" s="59" t="s">
        <v>57</v>
      </c>
      <c r="B382" s="59">
        <v>1110510440</v>
      </c>
      <c r="C382" s="61" t="s">
        <v>112</v>
      </c>
      <c r="D382" s="60" t="s">
        <v>113</v>
      </c>
      <c r="E382" s="21">
        <f>E383</f>
        <v>6050.099999999999</v>
      </c>
      <c r="F382" s="21">
        <f t="shared" si="134"/>
        <v>0</v>
      </c>
      <c r="G382" s="21">
        <f t="shared" si="134"/>
        <v>0</v>
      </c>
    </row>
    <row r="383" spans="1:7" ht="12.75">
      <c r="A383" s="59" t="s">
        <v>57</v>
      </c>
      <c r="B383" s="59">
        <v>1110510440</v>
      </c>
      <c r="C383" s="59">
        <v>610</v>
      </c>
      <c r="D383" s="60" t="s">
        <v>130</v>
      </c>
      <c r="E383" s="21">
        <f>'№4 '!F746</f>
        <v>6050.099999999999</v>
      </c>
      <c r="F383" s="21">
        <f>'№4 '!G746</f>
        <v>0</v>
      </c>
      <c r="G383" s="21">
        <f>'№4 '!H746</f>
        <v>0</v>
      </c>
    </row>
    <row r="384" spans="1:7" ht="31.5">
      <c r="A384" s="59" t="s">
        <v>57</v>
      </c>
      <c r="B384" s="59" t="s">
        <v>234</v>
      </c>
      <c r="C384" s="59"/>
      <c r="D384" s="60" t="s">
        <v>320</v>
      </c>
      <c r="E384" s="21">
        <f>E385</f>
        <v>2179.9000000000005</v>
      </c>
      <c r="F384" s="21">
        <f aca="true" t="shared" si="135" ref="F384:G385">F385</f>
        <v>0</v>
      </c>
      <c r="G384" s="21">
        <f t="shared" si="135"/>
        <v>0</v>
      </c>
    </row>
    <row r="385" spans="1:7" ht="31.5">
      <c r="A385" s="59" t="s">
        <v>57</v>
      </c>
      <c r="B385" s="59" t="s">
        <v>234</v>
      </c>
      <c r="C385" s="61" t="s">
        <v>112</v>
      </c>
      <c r="D385" s="60" t="s">
        <v>113</v>
      </c>
      <c r="E385" s="21">
        <f>E386</f>
        <v>2179.9000000000005</v>
      </c>
      <c r="F385" s="21">
        <f t="shared" si="135"/>
        <v>0</v>
      </c>
      <c r="G385" s="21">
        <f t="shared" si="135"/>
        <v>0</v>
      </c>
    </row>
    <row r="386" spans="1:7" ht="12.75">
      <c r="A386" s="59" t="s">
        <v>57</v>
      </c>
      <c r="B386" s="59" t="s">
        <v>234</v>
      </c>
      <c r="C386" s="59">
        <v>610</v>
      </c>
      <c r="D386" s="60" t="s">
        <v>130</v>
      </c>
      <c r="E386" s="21">
        <f>'№4 '!F749</f>
        <v>2179.9000000000005</v>
      </c>
      <c r="F386" s="21">
        <f>'№4 '!G749</f>
        <v>0</v>
      </c>
      <c r="G386" s="21">
        <f>'№4 '!H749</f>
        <v>0</v>
      </c>
    </row>
    <row r="387" spans="1:7" ht="16.5" customHeight="1">
      <c r="A387" s="100" t="s">
        <v>57</v>
      </c>
      <c r="B387" s="11" t="s">
        <v>338</v>
      </c>
      <c r="C387" s="100"/>
      <c r="D387" s="107" t="s">
        <v>339</v>
      </c>
      <c r="E387" s="21">
        <f>E388</f>
        <v>1321.3</v>
      </c>
      <c r="F387" s="21">
        <f aca="true" t="shared" si="136" ref="F387:G388">F388</f>
        <v>0</v>
      </c>
      <c r="G387" s="21">
        <f t="shared" si="136"/>
        <v>0</v>
      </c>
    </row>
    <row r="388" spans="1:7" ht="31.5">
      <c r="A388" s="100" t="s">
        <v>57</v>
      </c>
      <c r="B388" s="11" t="s">
        <v>338</v>
      </c>
      <c r="C388" s="102" t="s">
        <v>112</v>
      </c>
      <c r="D388" s="101" t="s">
        <v>113</v>
      </c>
      <c r="E388" s="21">
        <f>E389</f>
        <v>1321.3</v>
      </c>
      <c r="F388" s="21">
        <f t="shared" si="136"/>
        <v>0</v>
      </c>
      <c r="G388" s="21">
        <f t="shared" si="136"/>
        <v>0</v>
      </c>
    </row>
    <row r="389" spans="1:7" ht="12.75">
      <c r="A389" s="100" t="s">
        <v>57</v>
      </c>
      <c r="B389" s="11" t="s">
        <v>338</v>
      </c>
      <c r="C389" s="102">
        <v>610</v>
      </c>
      <c r="D389" s="101" t="s">
        <v>130</v>
      </c>
      <c r="E389" s="21">
        <f>'№4 '!F752</f>
        <v>1321.3</v>
      </c>
      <c r="F389" s="21">
        <v>0</v>
      </c>
      <c r="G389" s="21">
        <v>0</v>
      </c>
    </row>
    <row r="390" spans="1:7" ht="63">
      <c r="A390" s="59" t="s">
        <v>57</v>
      </c>
      <c r="B390" s="59">
        <v>1110600000</v>
      </c>
      <c r="C390" s="59"/>
      <c r="D390" s="60" t="s">
        <v>303</v>
      </c>
      <c r="E390" s="21">
        <f>E391+E394</f>
        <v>262</v>
      </c>
      <c r="F390" s="21">
        <f aca="true" t="shared" si="137" ref="F390:G390">F391+F394</f>
        <v>144.1</v>
      </c>
      <c r="G390" s="21">
        <f t="shared" si="137"/>
        <v>144.1</v>
      </c>
    </row>
    <row r="391" spans="1:7" ht="31.5">
      <c r="A391" s="59" t="s">
        <v>57</v>
      </c>
      <c r="B391" s="59">
        <v>1110610440</v>
      </c>
      <c r="C391" s="59"/>
      <c r="D391" s="60" t="s">
        <v>320</v>
      </c>
      <c r="E391" s="21">
        <f>E392</f>
        <v>131</v>
      </c>
      <c r="F391" s="21">
        <f aca="true" t="shared" si="138" ref="F391:G392">F392</f>
        <v>0</v>
      </c>
      <c r="G391" s="21">
        <f t="shared" si="138"/>
        <v>0</v>
      </c>
    </row>
    <row r="392" spans="1:7" ht="31.5">
      <c r="A392" s="59" t="s">
        <v>57</v>
      </c>
      <c r="B392" s="59">
        <v>1110610440</v>
      </c>
      <c r="C392" s="61" t="s">
        <v>112</v>
      </c>
      <c r="D392" s="60" t="s">
        <v>113</v>
      </c>
      <c r="E392" s="21">
        <f>E393</f>
        <v>131</v>
      </c>
      <c r="F392" s="21">
        <f t="shared" si="138"/>
        <v>0</v>
      </c>
      <c r="G392" s="21">
        <f t="shared" si="138"/>
        <v>0</v>
      </c>
    </row>
    <row r="393" spans="1:7" ht="12.75">
      <c r="A393" s="59" t="s">
        <v>57</v>
      </c>
      <c r="B393" s="59">
        <v>1110610440</v>
      </c>
      <c r="C393" s="59">
        <v>610</v>
      </c>
      <c r="D393" s="60" t="s">
        <v>130</v>
      </c>
      <c r="E393" s="21">
        <f>'№4 '!F756</f>
        <v>131</v>
      </c>
      <c r="F393" s="21">
        <f>'№4 '!G756</f>
        <v>0</v>
      </c>
      <c r="G393" s="21">
        <f>'№4 '!H756</f>
        <v>0</v>
      </c>
    </row>
    <row r="394" spans="1:7" ht="31.5">
      <c r="A394" s="59" t="s">
        <v>57</v>
      </c>
      <c r="B394" s="59" t="s">
        <v>302</v>
      </c>
      <c r="C394" s="59"/>
      <c r="D394" s="60" t="s">
        <v>320</v>
      </c>
      <c r="E394" s="21">
        <f>E395</f>
        <v>131</v>
      </c>
      <c r="F394" s="21">
        <f aca="true" t="shared" si="139" ref="F394:G395">F395</f>
        <v>144.1</v>
      </c>
      <c r="G394" s="21">
        <f t="shared" si="139"/>
        <v>144.1</v>
      </c>
    </row>
    <row r="395" spans="1:7" ht="31.5">
      <c r="A395" s="59" t="s">
        <v>57</v>
      </c>
      <c r="B395" s="59" t="s">
        <v>302</v>
      </c>
      <c r="C395" s="61" t="s">
        <v>112</v>
      </c>
      <c r="D395" s="60" t="s">
        <v>113</v>
      </c>
      <c r="E395" s="21">
        <f>E396</f>
        <v>131</v>
      </c>
      <c r="F395" s="21">
        <f t="shared" si="139"/>
        <v>144.1</v>
      </c>
      <c r="G395" s="21">
        <f t="shared" si="139"/>
        <v>144.1</v>
      </c>
    </row>
    <row r="396" spans="1:7" ht="12.75">
      <c r="A396" s="59" t="s">
        <v>57</v>
      </c>
      <c r="B396" s="59" t="s">
        <v>302</v>
      </c>
      <c r="C396" s="59">
        <v>610</v>
      </c>
      <c r="D396" s="60" t="s">
        <v>130</v>
      </c>
      <c r="E396" s="21">
        <f>'№4 '!F759</f>
        <v>131</v>
      </c>
      <c r="F396" s="21">
        <f>'№4 '!G759</f>
        <v>144.1</v>
      </c>
      <c r="G396" s="21">
        <f>'№4 '!H759</f>
        <v>144.1</v>
      </c>
    </row>
    <row r="397" spans="1:7" ht="12.75">
      <c r="A397" s="59" t="s">
        <v>57</v>
      </c>
      <c r="B397" s="59">
        <v>1120000000</v>
      </c>
      <c r="C397" s="59"/>
      <c r="D397" s="60" t="s">
        <v>149</v>
      </c>
      <c r="E397" s="21">
        <f>E398</f>
        <v>3760.5</v>
      </c>
      <c r="F397" s="21">
        <f aca="true" t="shared" si="140" ref="F397:G400">F398</f>
        <v>3714.5</v>
      </c>
      <c r="G397" s="21">
        <f t="shared" si="140"/>
        <v>3714.5</v>
      </c>
    </row>
    <row r="398" spans="1:7" ht="47.25">
      <c r="A398" s="59" t="s">
        <v>57</v>
      </c>
      <c r="B398" s="59">
        <v>1120100000</v>
      </c>
      <c r="C398" s="59"/>
      <c r="D398" s="60" t="s">
        <v>150</v>
      </c>
      <c r="E398" s="21">
        <f>E399</f>
        <v>3760.5</v>
      </c>
      <c r="F398" s="21">
        <f t="shared" si="140"/>
        <v>3714.5</v>
      </c>
      <c r="G398" s="21">
        <f t="shared" si="140"/>
        <v>3714.5</v>
      </c>
    </row>
    <row r="399" spans="1:7" ht="31.5">
      <c r="A399" s="59" t="s">
        <v>57</v>
      </c>
      <c r="B399" s="59">
        <v>1120120010</v>
      </c>
      <c r="C399" s="59"/>
      <c r="D399" s="60" t="s">
        <v>151</v>
      </c>
      <c r="E399" s="21">
        <f>E400</f>
        <v>3760.5</v>
      </c>
      <c r="F399" s="21">
        <f t="shared" si="140"/>
        <v>3714.5</v>
      </c>
      <c r="G399" s="21">
        <f t="shared" si="140"/>
        <v>3714.5</v>
      </c>
    </row>
    <row r="400" spans="1:7" ht="31.5">
      <c r="A400" s="59" t="s">
        <v>57</v>
      </c>
      <c r="B400" s="59">
        <v>1120120010</v>
      </c>
      <c r="C400" s="61" t="s">
        <v>112</v>
      </c>
      <c r="D400" s="60" t="s">
        <v>113</v>
      </c>
      <c r="E400" s="21">
        <f>E401</f>
        <v>3760.5</v>
      </c>
      <c r="F400" s="21">
        <f t="shared" si="140"/>
        <v>3714.5</v>
      </c>
      <c r="G400" s="21">
        <f t="shared" si="140"/>
        <v>3714.5</v>
      </c>
    </row>
    <row r="401" spans="1:7" ht="12.75">
      <c r="A401" s="59" t="s">
        <v>57</v>
      </c>
      <c r="B401" s="59">
        <v>1120120010</v>
      </c>
      <c r="C401" s="59">
        <v>610</v>
      </c>
      <c r="D401" s="60" t="s">
        <v>130</v>
      </c>
      <c r="E401" s="21">
        <f>'№4 '!F764</f>
        <v>3760.5</v>
      </c>
      <c r="F401" s="21">
        <f>'№4 '!G764</f>
        <v>3714.5</v>
      </c>
      <c r="G401" s="21">
        <f>'№4 '!H764</f>
        <v>3714.5</v>
      </c>
    </row>
    <row r="402" spans="1:7" ht="31.5">
      <c r="A402" s="59" t="s">
        <v>57</v>
      </c>
      <c r="B402" s="59">
        <v>1130000000</v>
      </c>
      <c r="C402" s="59"/>
      <c r="D402" s="60" t="s">
        <v>142</v>
      </c>
      <c r="E402" s="21">
        <f>E403</f>
        <v>108</v>
      </c>
      <c r="F402" s="21">
        <f aca="true" t="shared" si="141" ref="F402:G408">F403</f>
        <v>0</v>
      </c>
      <c r="G402" s="21">
        <f t="shared" si="141"/>
        <v>0</v>
      </c>
    </row>
    <row r="403" spans="1:7" ht="31.5">
      <c r="A403" s="59" t="s">
        <v>57</v>
      </c>
      <c r="B403" s="59">
        <v>1130100000</v>
      </c>
      <c r="C403" s="59"/>
      <c r="D403" s="60" t="s">
        <v>293</v>
      </c>
      <c r="E403" s="21">
        <f>E407+E404</f>
        <v>108</v>
      </c>
      <c r="F403" s="21">
        <f aca="true" t="shared" si="142" ref="F403:G403">F407+F404</f>
        <v>0</v>
      </c>
      <c r="G403" s="21">
        <f t="shared" si="142"/>
        <v>0</v>
      </c>
    </row>
    <row r="404" spans="1:7" ht="78.75">
      <c r="A404" s="59" t="s">
        <v>57</v>
      </c>
      <c r="B404" s="59">
        <v>1130110660</v>
      </c>
      <c r="C404" s="59"/>
      <c r="D404" s="60" t="s">
        <v>321</v>
      </c>
      <c r="E404" s="21">
        <f>E405</f>
        <v>97.2</v>
      </c>
      <c r="F404" s="21">
        <f aca="true" t="shared" si="143" ref="F404:G405">F405</f>
        <v>0</v>
      </c>
      <c r="G404" s="21">
        <f t="shared" si="143"/>
        <v>0</v>
      </c>
    </row>
    <row r="405" spans="1:7" ht="31.5">
      <c r="A405" s="59" t="s">
        <v>57</v>
      </c>
      <c r="B405" s="59">
        <v>1130110660</v>
      </c>
      <c r="C405" s="61" t="s">
        <v>112</v>
      </c>
      <c r="D405" s="60" t="s">
        <v>113</v>
      </c>
      <c r="E405" s="21">
        <f>E406</f>
        <v>97.2</v>
      </c>
      <c r="F405" s="21">
        <f t="shared" si="143"/>
        <v>0</v>
      </c>
      <c r="G405" s="21">
        <f t="shared" si="143"/>
        <v>0</v>
      </c>
    </row>
    <row r="406" spans="1:7" ht="12.75">
      <c r="A406" s="59" t="s">
        <v>57</v>
      </c>
      <c r="B406" s="59">
        <v>1130110660</v>
      </c>
      <c r="C406" s="59">
        <v>610</v>
      </c>
      <c r="D406" s="60" t="s">
        <v>130</v>
      </c>
      <c r="E406" s="21">
        <f>'№4 '!F769</f>
        <v>97.2</v>
      </c>
      <c r="F406" s="21">
        <f>'№4 '!G769</f>
        <v>0</v>
      </c>
      <c r="G406" s="21">
        <f>'№4 '!H769</f>
        <v>0</v>
      </c>
    </row>
    <row r="407" spans="1:7" ht="78.75">
      <c r="A407" s="59" t="s">
        <v>57</v>
      </c>
      <c r="B407" s="59" t="s">
        <v>294</v>
      </c>
      <c r="C407" s="59"/>
      <c r="D407" s="60" t="s">
        <v>322</v>
      </c>
      <c r="E407" s="21">
        <f>E408</f>
        <v>10.799999999999999</v>
      </c>
      <c r="F407" s="21">
        <f t="shared" si="141"/>
        <v>0</v>
      </c>
      <c r="G407" s="21">
        <f t="shared" si="141"/>
        <v>0</v>
      </c>
    </row>
    <row r="408" spans="1:7" ht="31.5">
      <c r="A408" s="59" t="s">
        <v>57</v>
      </c>
      <c r="B408" s="59" t="s">
        <v>294</v>
      </c>
      <c r="C408" s="61" t="s">
        <v>112</v>
      </c>
      <c r="D408" s="60" t="s">
        <v>113</v>
      </c>
      <c r="E408" s="21">
        <f>E409</f>
        <v>10.799999999999999</v>
      </c>
      <c r="F408" s="21">
        <f t="shared" si="141"/>
        <v>0</v>
      </c>
      <c r="G408" s="21">
        <f t="shared" si="141"/>
        <v>0</v>
      </c>
    </row>
    <row r="409" spans="1:7" ht="12.75">
      <c r="A409" s="59" t="s">
        <v>57</v>
      </c>
      <c r="B409" s="59" t="s">
        <v>294</v>
      </c>
      <c r="C409" s="59">
        <v>610</v>
      </c>
      <c r="D409" s="60" t="s">
        <v>130</v>
      </c>
      <c r="E409" s="21">
        <f>'№4 '!F772</f>
        <v>10.799999999999999</v>
      </c>
      <c r="F409" s="21">
        <f>'№4 '!G772</f>
        <v>0</v>
      </c>
      <c r="G409" s="21">
        <f>'№4 '!H772</f>
        <v>0</v>
      </c>
    </row>
    <row r="410" spans="1:7" ht="31.5">
      <c r="A410" s="59" t="s">
        <v>57</v>
      </c>
      <c r="B410" s="61">
        <v>1500000000</v>
      </c>
      <c r="C410" s="59"/>
      <c r="D410" s="31" t="s">
        <v>243</v>
      </c>
      <c r="E410" s="21">
        <f>E411</f>
        <v>572.3</v>
      </c>
      <c r="F410" s="21">
        <f aca="true" t="shared" si="144" ref="F410:G412">F411</f>
        <v>0</v>
      </c>
      <c r="G410" s="21">
        <f t="shared" si="144"/>
        <v>0</v>
      </c>
    </row>
    <row r="411" spans="1:7" ht="31.5">
      <c r="A411" s="59" t="s">
        <v>57</v>
      </c>
      <c r="B411" s="61">
        <v>1520000000</v>
      </c>
      <c r="C411" s="59"/>
      <c r="D411" s="60" t="s">
        <v>235</v>
      </c>
      <c r="E411" s="21">
        <f>E412+E416</f>
        <v>572.3</v>
      </c>
      <c r="F411" s="21">
        <f t="shared" si="144"/>
        <v>0</v>
      </c>
      <c r="G411" s="21">
        <f t="shared" si="144"/>
        <v>0</v>
      </c>
    </row>
    <row r="412" spans="1:7" ht="63">
      <c r="A412" s="59" t="s">
        <v>57</v>
      </c>
      <c r="B412" s="59">
        <v>1520100000</v>
      </c>
      <c r="C412" s="59"/>
      <c r="D412" s="60" t="s">
        <v>311</v>
      </c>
      <c r="E412" s="21">
        <f>E413</f>
        <v>506.5</v>
      </c>
      <c r="F412" s="21">
        <f t="shared" si="144"/>
        <v>0</v>
      </c>
      <c r="G412" s="21">
        <f t="shared" si="144"/>
        <v>0</v>
      </c>
    </row>
    <row r="413" spans="1:7" ht="31.5">
      <c r="A413" s="100" t="s">
        <v>57</v>
      </c>
      <c r="B413" s="11" t="s">
        <v>376</v>
      </c>
      <c r="C413" s="100"/>
      <c r="D413" s="107" t="s">
        <v>382</v>
      </c>
      <c r="E413" s="21">
        <f>E414</f>
        <v>506.5</v>
      </c>
      <c r="F413" s="21">
        <f aca="true" t="shared" si="145" ref="F413:G414">F414</f>
        <v>0</v>
      </c>
      <c r="G413" s="21">
        <f t="shared" si="145"/>
        <v>0</v>
      </c>
    </row>
    <row r="414" spans="1:7" ht="31.5">
      <c r="A414" s="100" t="s">
        <v>57</v>
      </c>
      <c r="B414" s="11" t="s">
        <v>376</v>
      </c>
      <c r="C414" s="102" t="s">
        <v>112</v>
      </c>
      <c r="D414" s="101" t="s">
        <v>113</v>
      </c>
      <c r="E414" s="21">
        <f>E415</f>
        <v>506.5</v>
      </c>
      <c r="F414" s="21">
        <f t="shared" si="145"/>
        <v>0</v>
      </c>
      <c r="G414" s="21">
        <f t="shared" si="145"/>
        <v>0</v>
      </c>
    </row>
    <row r="415" spans="1:7" ht="12.75">
      <c r="A415" s="100" t="s">
        <v>57</v>
      </c>
      <c r="B415" s="11" t="s">
        <v>376</v>
      </c>
      <c r="C415" s="100">
        <v>610</v>
      </c>
      <c r="D415" s="101" t="s">
        <v>130</v>
      </c>
      <c r="E415" s="21">
        <f>'№4 '!F778</f>
        <v>506.5</v>
      </c>
      <c r="F415" s="21">
        <v>0</v>
      </c>
      <c r="G415" s="21">
        <v>0</v>
      </c>
    </row>
    <row r="416" spans="1:7" ht="47.25">
      <c r="A416" s="100" t="s">
        <v>57</v>
      </c>
      <c r="B416" s="11" t="s">
        <v>379</v>
      </c>
      <c r="C416" s="100"/>
      <c r="D416" s="101" t="s">
        <v>381</v>
      </c>
      <c r="E416" s="21">
        <f>E417</f>
        <v>65.8</v>
      </c>
      <c r="F416" s="21">
        <f aca="true" t="shared" si="146" ref="F416:G418">F417</f>
        <v>0</v>
      </c>
      <c r="G416" s="21">
        <f t="shared" si="146"/>
        <v>0</v>
      </c>
    </row>
    <row r="417" spans="1:7" ht="12.75">
      <c r="A417" s="100" t="s">
        <v>57</v>
      </c>
      <c r="B417" s="11" t="s">
        <v>379</v>
      </c>
      <c r="C417" s="100"/>
      <c r="D417" s="107" t="s">
        <v>378</v>
      </c>
      <c r="E417" s="21">
        <f>E418</f>
        <v>65.8</v>
      </c>
      <c r="F417" s="21">
        <f>F418</f>
        <v>0</v>
      </c>
      <c r="G417" s="21">
        <f t="shared" si="146"/>
        <v>0</v>
      </c>
    </row>
    <row r="418" spans="1:7" ht="31.5">
      <c r="A418" s="100" t="s">
        <v>57</v>
      </c>
      <c r="B418" s="11" t="s">
        <v>379</v>
      </c>
      <c r="C418" s="102" t="s">
        <v>112</v>
      </c>
      <c r="D418" s="101" t="s">
        <v>113</v>
      </c>
      <c r="E418" s="21">
        <f>E419</f>
        <v>65.8</v>
      </c>
      <c r="F418" s="21">
        <f aca="true" t="shared" si="147" ref="F418">F419</f>
        <v>0</v>
      </c>
      <c r="G418" s="21">
        <f t="shared" si="146"/>
        <v>0</v>
      </c>
    </row>
    <row r="419" spans="1:7" ht="12.75">
      <c r="A419" s="100" t="s">
        <v>57</v>
      </c>
      <c r="B419" s="11" t="s">
        <v>379</v>
      </c>
      <c r="C419" s="100">
        <v>610</v>
      </c>
      <c r="D419" s="101" t="s">
        <v>130</v>
      </c>
      <c r="E419" s="21">
        <v>65.8</v>
      </c>
      <c r="F419" s="21">
        <v>0</v>
      </c>
      <c r="G419" s="21">
        <v>0</v>
      </c>
    </row>
    <row r="420" spans="1:7" ht="12.75">
      <c r="A420" s="112" t="s">
        <v>57</v>
      </c>
      <c r="B420" s="112">
        <v>9900000000</v>
      </c>
      <c r="C420" s="112"/>
      <c r="D420" s="113" t="s">
        <v>131</v>
      </c>
      <c r="E420" s="28">
        <f>E421</f>
        <v>70.1</v>
      </c>
      <c r="F420" s="28">
        <f aca="true" t="shared" si="148" ref="F420:G423">F421</f>
        <v>0</v>
      </c>
      <c r="G420" s="28">
        <f t="shared" si="148"/>
        <v>0</v>
      </c>
    </row>
    <row r="421" spans="1:7" ht="47.25">
      <c r="A421" s="112" t="s">
        <v>57</v>
      </c>
      <c r="B421" s="112">
        <v>9920000000</v>
      </c>
      <c r="C421" s="112"/>
      <c r="D421" s="113" t="s">
        <v>383</v>
      </c>
      <c r="E421" s="28">
        <f>E422</f>
        <v>70.1</v>
      </c>
      <c r="F421" s="28">
        <f t="shared" si="148"/>
        <v>0</v>
      </c>
      <c r="G421" s="28">
        <f t="shared" si="148"/>
        <v>0</v>
      </c>
    </row>
    <row r="422" spans="1:7" ht="47.25">
      <c r="A422" s="112" t="s">
        <v>57</v>
      </c>
      <c r="B422" s="112">
        <v>9920010920</v>
      </c>
      <c r="C422" s="112"/>
      <c r="D422" s="113" t="s">
        <v>384</v>
      </c>
      <c r="E422" s="28">
        <f>E423</f>
        <v>70.1</v>
      </c>
      <c r="F422" s="28">
        <f t="shared" si="148"/>
        <v>0</v>
      </c>
      <c r="G422" s="28">
        <f t="shared" si="148"/>
        <v>0</v>
      </c>
    </row>
    <row r="423" spans="1:7" ht="31.5">
      <c r="A423" s="112" t="s">
        <v>57</v>
      </c>
      <c r="B423" s="112">
        <v>9920010920</v>
      </c>
      <c r="C423" s="114" t="s">
        <v>112</v>
      </c>
      <c r="D423" s="113" t="s">
        <v>113</v>
      </c>
      <c r="E423" s="28">
        <f>E424</f>
        <v>70.1</v>
      </c>
      <c r="F423" s="28">
        <f t="shared" si="148"/>
        <v>0</v>
      </c>
      <c r="G423" s="28">
        <f t="shared" si="148"/>
        <v>0</v>
      </c>
    </row>
    <row r="424" spans="1:7" ht="12.75">
      <c r="A424" s="112" t="s">
        <v>57</v>
      </c>
      <c r="B424" s="112">
        <v>9920010920</v>
      </c>
      <c r="C424" s="112">
        <v>610</v>
      </c>
      <c r="D424" s="113" t="s">
        <v>130</v>
      </c>
      <c r="E424" s="28">
        <f>'№4 '!F787</f>
        <v>70.1</v>
      </c>
      <c r="F424" s="28">
        <f>'№4 '!G787</f>
        <v>0</v>
      </c>
      <c r="G424" s="28">
        <f>'№4 '!H787</f>
        <v>0</v>
      </c>
    </row>
    <row r="425" spans="1:7" ht="12.75">
      <c r="A425" s="59" t="s">
        <v>102</v>
      </c>
      <c r="B425" s="59" t="s">
        <v>72</v>
      </c>
      <c r="C425" s="59" t="s">
        <v>72</v>
      </c>
      <c r="D425" s="31" t="s">
        <v>103</v>
      </c>
      <c r="E425" s="21">
        <f>E426+E451+E457</f>
        <v>44433.799999999996</v>
      </c>
      <c r="F425" s="21">
        <f>F426+F451+F457</f>
        <v>36452.7</v>
      </c>
      <c r="G425" s="21">
        <f>G426+G451+G457</f>
        <v>36452.7</v>
      </c>
    </row>
    <row r="426" spans="1:7" ht="35.25" customHeight="1">
      <c r="A426" s="59" t="s">
        <v>102</v>
      </c>
      <c r="B426" s="61">
        <v>1100000000</v>
      </c>
      <c r="C426" s="59"/>
      <c r="D426" s="60" t="s">
        <v>247</v>
      </c>
      <c r="E426" s="21">
        <f aca="true" t="shared" si="149" ref="E426:G436">E427</f>
        <v>43978.299999999996</v>
      </c>
      <c r="F426" s="21">
        <f t="shared" si="149"/>
        <v>36452.7</v>
      </c>
      <c r="G426" s="21">
        <f t="shared" si="149"/>
        <v>36452.7</v>
      </c>
    </row>
    <row r="427" spans="1:7" ht="12.75">
      <c r="A427" s="59" t="s">
        <v>102</v>
      </c>
      <c r="B427" s="59">
        <v>1120000000</v>
      </c>
      <c r="C427" s="59"/>
      <c r="D427" s="60" t="s">
        <v>149</v>
      </c>
      <c r="E427" s="21">
        <f>E428+E444</f>
        <v>43978.299999999996</v>
      </c>
      <c r="F427" s="21">
        <f aca="true" t="shared" si="150" ref="F427:G427">F428+F444</f>
        <v>36452.7</v>
      </c>
      <c r="G427" s="21">
        <f t="shared" si="150"/>
        <v>36452.7</v>
      </c>
    </row>
    <row r="428" spans="1:7" ht="47.25">
      <c r="A428" s="59" t="s">
        <v>102</v>
      </c>
      <c r="B428" s="59">
        <v>1120100000</v>
      </c>
      <c r="C428" s="59"/>
      <c r="D428" s="60" t="s">
        <v>150</v>
      </c>
      <c r="E428" s="21">
        <f>E435+E432+E441+E431+E438</f>
        <v>43160.7</v>
      </c>
      <c r="F428" s="21">
        <f aca="true" t="shared" si="151" ref="F428:G428">F435+F432+F441+F431+F438</f>
        <v>36452.7</v>
      </c>
      <c r="G428" s="21">
        <f t="shared" si="151"/>
        <v>36452.7</v>
      </c>
    </row>
    <row r="429" spans="1:7" ht="47.25">
      <c r="A429" s="84" t="s">
        <v>102</v>
      </c>
      <c r="B429" s="11" t="s">
        <v>367</v>
      </c>
      <c r="C429" s="13"/>
      <c r="D429" s="9" t="s">
        <v>366</v>
      </c>
      <c r="E429" s="21">
        <f>E430</f>
        <v>628.3000000000001</v>
      </c>
      <c r="F429" s="21">
        <f aca="true" t="shared" si="152" ref="F429:G430">F430</f>
        <v>0</v>
      </c>
      <c r="G429" s="21">
        <f t="shared" si="152"/>
        <v>0</v>
      </c>
    </row>
    <row r="430" spans="1:7" ht="31.5">
      <c r="A430" s="84" t="s">
        <v>102</v>
      </c>
      <c r="B430" s="11" t="s">
        <v>367</v>
      </c>
      <c r="C430" s="86" t="s">
        <v>112</v>
      </c>
      <c r="D430" s="85" t="s">
        <v>113</v>
      </c>
      <c r="E430" s="21">
        <f>E431</f>
        <v>628.3000000000001</v>
      </c>
      <c r="F430" s="21">
        <f t="shared" si="152"/>
        <v>0</v>
      </c>
      <c r="G430" s="21">
        <f t="shared" si="152"/>
        <v>0</v>
      </c>
    </row>
    <row r="431" spans="1:7" ht="12.75">
      <c r="A431" s="84" t="s">
        <v>102</v>
      </c>
      <c r="B431" s="11" t="s">
        <v>367</v>
      </c>
      <c r="C431" s="84">
        <v>610</v>
      </c>
      <c r="D431" s="85" t="s">
        <v>130</v>
      </c>
      <c r="E431" s="21">
        <f>'№4 '!F794+'№4 '!F277</f>
        <v>628.3000000000001</v>
      </c>
      <c r="F431" s="21">
        <f>'№4 '!G794+'№4 '!G277</f>
        <v>0</v>
      </c>
      <c r="G431" s="21">
        <f>'№4 '!H794+'№4 '!H277</f>
        <v>0</v>
      </c>
    </row>
    <row r="432" spans="1:7" ht="47.25">
      <c r="A432" s="59" t="s">
        <v>102</v>
      </c>
      <c r="B432" s="59">
        <v>1120110690</v>
      </c>
      <c r="C432" s="59"/>
      <c r="D432" s="60" t="s">
        <v>317</v>
      </c>
      <c r="E432" s="28">
        <f>E433</f>
        <v>5676.1</v>
      </c>
      <c r="F432" s="28">
        <f aca="true" t="shared" si="153" ref="F432:G433">F433</f>
        <v>0</v>
      </c>
      <c r="G432" s="28">
        <f t="shared" si="153"/>
        <v>0</v>
      </c>
    </row>
    <row r="433" spans="1:7" ht="31.5">
      <c r="A433" s="59" t="s">
        <v>102</v>
      </c>
      <c r="B433" s="59">
        <v>1120110690</v>
      </c>
      <c r="C433" s="61" t="s">
        <v>112</v>
      </c>
      <c r="D433" s="60" t="s">
        <v>113</v>
      </c>
      <c r="E433" s="28">
        <f>E434</f>
        <v>5676.1</v>
      </c>
      <c r="F433" s="28">
        <f t="shared" si="153"/>
        <v>0</v>
      </c>
      <c r="G433" s="28">
        <f t="shared" si="153"/>
        <v>0</v>
      </c>
    </row>
    <row r="434" spans="1:7" ht="12.75">
      <c r="A434" s="59" t="s">
        <v>102</v>
      </c>
      <c r="B434" s="59">
        <v>1120110690</v>
      </c>
      <c r="C434" s="59">
        <v>610</v>
      </c>
      <c r="D434" s="60" t="s">
        <v>130</v>
      </c>
      <c r="E434" s="28">
        <f>'№4 '!F280+'№4 '!F625+'№4 '!F797</f>
        <v>5676.1</v>
      </c>
      <c r="F434" s="28">
        <f>'№4 '!G280+'№4 '!G625+'№4 '!G797</f>
        <v>0</v>
      </c>
      <c r="G434" s="28">
        <f>'№4 '!H280+'№4 '!H625+'№4 '!H797</f>
        <v>0</v>
      </c>
    </row>
    <row r="435" spans="1:7" ht="31.5">
      <c r="A435" s="59" t="s">
        <v>102</v>
      </c>
      <c r="B435" s="59">
        <v>1120120010</v>
      </c>
      <c r="C435" s="59"/>
      <c r="D435" s="60" t="s">
        <v>151</v>
      </c>
      <c r="E435" s="21">
        <f t="shared" si="149"/>
        <v>36452.6</v>
      </c>
      <c r="F435" s="21">
        <f t="shared" si="149"/>
        <v>36452.7</v>
      </c>
      <c r="G435" s="21">
        <f t="shared" si="149"/>
        <v>36452.7</v>
      </c>
    </row>
    <row r="436" spans="1:7" ht="31.5">
      <c r="A436" s="59" t="s">
        <v>102</v>
      </c>
      <c r="B436" s="59">
        <v>1120120010</v>
      </c>
      <c r="C436" s="61" t="s">
        <v>112</v>
      </c>
      <c r="D436" s="60" t="s">
        <v>113</v>
      </c>
      <c r="E436" s="21">
        <f t="shared" si="149"/>
        <v>36452.6</v>
      </c>
      <c r="F436" s="21">
        <f t="shared" si="149"/>
        <v>36452.7</v>
      </c>
      <c r="G436" s="21">
        <f t="shared" si="149"/>
        <v>36452.7</v>
      </c>
    </row>
    <row r="437" spans="1:7" ht="12.75">
      <c r="A437" s="59" t="s">
        <v>102</v>
      </c>
      <c r="B437" s="59">
        <v>1120120010</v>
      </c>
      <c r="C437" s="59">
        <v>610</v>
      </c>
      <c r="D437" s="60" t="s">
        <v>130</v>
      </c>
      <c r="E437" s="21">
        <f>'№4 '!F628+'№4 '!F800+'№4 '!F283</f>
        <v>36452.6</v>
      </c>
      <c r="F437" s="21">
        <f>'№4 '!G628+'№4 '!G800+'№4 '!G283</f>
        <v>36452.7</v>
      </c>
      <c r="G437" s="21">
        <f>'№4 '!H628+'№4 '!H800+'№4 '!H283</f>
        <v>36452.7</v>
      </c>
    </row>
    <row r="438" spans="1:7" ht="47.25">
      <c r="A438" s="87" t="s">
        <v>102</v>
      </c>
      <c r="B438" s="11" t="s">
        <v>369</v>
      </c>
      <c r="C438" s="13"/>
      <c r="D438" s="9" t="s">
        <v>366</v>
      </c>
      <c r="E438" s="21">
        <f>E439</f>
        <v>63</v>
      </c>
      <c r="F438" s="21">
        <f aca="true" t="shared" si="154" ref="F438:G439">F439</f>
        <v>0</v>
      </c>
      <c r="G438" s="21">
        <f t="shared" si="154"/>
        <v>0</v>
      </c>
    </row>
    <row r="439" spans="1:7" ht="31.5">
      <c r="A439" s="87" t="s">
        <v>102</v>
      </c>
      <c r="B439" s="11" t="s">
        <v>369</v>
      </c>
      <c r="C439" s="89" t="s">
        <v>112</v>
      </c>
      <c r="D439" s="88" t="s">
        <v>113</v>
      </c>
      <c r="E439" s="21">
        <f>E440</f>
        <v>63</v>
      </c>
      <c r="F439" s="21">
        <f t="shared" si="154"/>
        <v>0</v>
      </c>
      <c r="G439" s="21">
        <f t="shared" si="154"/>
        <v>0</v>
      </c>
    </row>
    <row r="440" spans="1:7" ht="12.75">
      <c r="A440" s="87" t="s">
        <v>102</v>
      </c>
      <c r="B440" s="11" t="s">
        <v>369</v>
      </c>
      <c r="C440" s="87">
        <v>610</v>
      </c>
      <c r="D440" s="88" t="s">
        <v>130</v>
      </c>
      <c r="E440" s="21">
        <f>'№4 '!F803+'№4 '!F286</f>
        <v>63</v>
      </c>
      <c r="F440" s="21">
        <f>'№4 '!G803+'№4 '!G286</f>
        <v>0</v>
      </c>
      <c r="G440" s="21">
        <f>'№4 '!H803+'№4 '!H286</f>
        <v>0</v>
      </c>
    </row>
    <row r="441" spans="1:7" ht="47.25">
      <c r="A441" s="59" t="s">
        <v>102</v>
      </c>
      <c r="B441" s="59" t="s">
        <v>316</v>
      </c>
      <c r="C441" s="59"/>
      <c r="D441" s="60" t="s">
        <v>318</v>
      </c>
      <c r="E441" s="28">
        <f>E442</f>
        <v>340.7</v>
      </c>
      <c r="F441" s="28">
        <f aca="true" t="shared" si="155" ref="F441:G442">F442</f>
        <v>0</v>
      </c>
      <c r="G441" s="28">
        <f t="shared" si="155"/>
        <v>0</v>
      </c>
    </row>
    <row r="442" spans="1:7" ht="31.5">
      <c r="A442" s="59" t="s">
        <v>102</v>
      </c>
      <c r="B442" s="59" t="s">
        <v>316</v>
      </c>
      <c r="C442" s="61" t="s">
        <v>112</v>
      </c>
      <c r="D442" s="60" t="s">
        <v>113</v>
      </c>
      <c r="E442" s="28">
        <f>E443</f>
        <v>340.7</v>
      </c>
      <c r="F442" s="28">
        <f t="shared" si="155"/>
        <v>0</v>
      </c>
      <c r="G442" s="28">
        <f t="shared" si="155"/>
        <v>0</v>
      </c>
    </row>
    <row r="443" spans="1:7" ht="12.75">
      <c r="A443" s="59" t="s">
        <v>102</v>
      </c>
      <c r="B443" s="59" t="s">
        <v>316</v>
      </c>
      <c r="C443" s="59">
        <v>610</v>
      </c>
      <c r="D443" s="60" t="s">
        <v>130</v>
      </c>
      <c r="E443" s="28">
        <f>'№4 '!F806+'№4 '!F289</f>
        <v>340.7</v>
      </c>
      <c r="F443" s="28">
        <f>'№4 '!G806+'№4 '!G289</f>
        <v>0</v>
      </c>
      <c r="G443" s="28">
        <f>'№4 '!H806+'№4 '!H289</f>
        <v>0</v>
      </c>
    </row>
    <row r="444" spans="1:7" ht="47.25">
      <c r="A444" s="59" t="s">
        <v>102</v>
      </c>
      <c r="B444" s="61">
        <v>1120200000</v>
      </c>
      <c r="C444" s="59"/>
      <c r="D444" s="60" t="s">
        <v>291</v>
      </c>
      <c r="E444" s="21">
        <f>E445+E448</f>
        <v>817.6</v>
      </c>
      <c r="F444" s="21">
        <f aca="true" t="shared" si="156" ref="F444:G444">F445+F448</f>
        <v>0</v>
      </c>
      <c r="G444" s="21">
        <f t="shared" si="156"/>
        <v>0</v>
      </c>
    </row>
    <row r="445" spans="1:7" ht="31.5">
      <c r="A445" s="59" t="s">
        <v>102</v>
      </c>
      <c r="B445" s="61">
        <v>1120220030</v>
      </c>
      <c r="C445" s="59"/>
      <c r="D445" s="60" t="s">
        <v>292</v>
      </c>
      <c r="E445" s="21">
        <f>E446</f>
        <v>391.6</v>
      </c>
      <c r="F445" s="21">
        <f aca="true" t="shared" si="157" ref="F445:G446">F446</f>
        <v>0</v>
      </c>
      <c r="G445" s="21">
        <f t="shared" si="157"/>
        <v>0</v>
      </c>
    </row>
    <row r="446" spans="1:7" ht="31.5">
      <c r="A446" s="59" t="s">
        <v>102</v>
      </c>
      <c r="B446" s="61">
        <v>1120220030</v>
      </c>
      <c r="C446" s="61" t="s">
        <v>112</v>
      </c>
      <c r="D446" s="60" t="s">
        <v>113</v>
      </c>
      <c r="E446" s="21">
        <f>E447</f>
        <v>391.6</v>
      </c>
      <c r="F446" s="21">
        <f t="shared" si="157"/>
        <v>0</v>
      </c>
      <c r="G446" s="21">
        <f t="shared" si="157"/>
        <v>0</v>
      </c>
    </row>
    <row r="447" spans="1:7" ht="12.75">
      <c r="A447" s="59" t="s">
        <v>102</v>
      </c>
      <c r="B447" s="61">
        <v>1120220030</v>
      </c>
      <c r="C447" s="59">
        <v>610</v>
      </c>
      <c r="D447" s="60" t="s">
        <v>130</v>
      </c>
      <c r="E447" s="21">
        <f>'№4 '!F293</f>
        <v>391.6</v>
      </c>
      <c r="F447" s="21">
        <f>'№4 '!G293</f>
        <v>0</v>
      </c>
      <c r="G447" s="21">
        <f>'№4 '!H293</f>
        <v>0</v>
      </c>
    </row>
    <row r="448" spans="1:7" ht="31.5">
      <c r="A448" s="68" t="s">
        <v>102</v>
      </c>
      <c r="B448" s="68" t="s">
        <v>340</v>
      </c>
      <c r="C448" s="68"/>
      <c r="D448" s="69" t="s">
        <v>341</v>
      </c>
      <c r="E448" s="21">
        <f>E449</f>
        <v>426</v>
      </c>
      <c r="F448" s="21">
        <f aca="true" t="shared" si="158" ref="F448:G449">F449</f>
        <v>0</v>
      </c>
      <c r="G448" s="21">
        <f t="shared" si="158"/>
        <v>0</v>
      </c>
    </row>
    <row r="449" spans="1:7" ht="31.5">
      <c r="A449" s="68" t="s">
        <v>102</v>
      </c>
      <c r="B449" s="68" t="s">
        <v>340</v>
      </c>
      <c r="C449" s="70" t="s">
        <v>112</v>
      </c>
      <c r="D449" s="69" t="s">
        <v>113</v>
      </c>
      <c r="E449" s="21">
        <f>E450</f>
        <v>426</v>
      </c>
      <c r="F449" s="21">
        <f t="shared" si="158"/>
        <v>0</v>
      </c>
      <c r="G449" s="21">
        <f t="shared" si="158"/>
        <v>0</v>
      </c>
    </row>
    <row r="450" spans="1:7" ht="12.75">
      <c r="A450" s="68" t="s">
        <v>102</v>
      </c>
      <c r="B450" s="68" t="s">
        <v>340</v>
      </c>
      <c r="C450" s="68">
        <v>610</v>
      </c>
      <c r="D450" s="69" t="s">
        <v>130</v>
      </c>
      <c r="E450" s="21">
        <f>'№4 '!F296</f>
        <v>426</v>
      </c>
      <c r="F450" s="21">
        <f>'№4 '!G296</f>
        <v>0</v>
      </c>
      <c r="G450" s="21">
        <f>'№4 '!H296</f>
        <v>0</v>
      </c>
    </row>
    <row r="451" spans="1:7" ht="31.5">
      <c r="A451" s="100" t="s">
        <v>102</v>
      </c>
      <c r="B451" s="102">
        <v>1500000000</v>
      </c>
      <c r="C451" s="100"/>
      <c r="D451" s="101" t="s">
        <v>243</v>
      </c>
      <c r="E451" s="21">
        <f>E452</f>
        <v>25.5</v>
      </c>
      <c r="F451" s="21">
        <f aca="true" t="shared" si="159" ref="F451:G455">F452</f>
        <v>0</v>
      </c>
      <c r="G451" s="21">
        <f t="shared" si="159"/>
        <v>0</v>
      </c>
    </row>
    <row r="452" spans="1:7" ht="31.5">
      <c r="A452" s="100" t="s">
        <v>102</v>
      </c>
      <c r="B452" s="102">
        <v>1520000000</v>
      </c>
      <c r="C452" s="100"/>
      <c r="D452" s="101" t="s">
        <v>235</v>
      </c>
      <c r="E452" s="21">
        <f>E453</f>
        <v>25.5</v>
      </c>
      <c r="F452" s="21">
        <f t="shared" si="159"/>
        <v>0</v>
      </c>
      <c r="G452" s="21">
        <f t="shared" si="159"/>
        <v>0</v>
      </c>
    </row>
    <row r="453" spans="1:7" ht="63">
      <c r="A453" s="100" t="s">
        <v>102</v>
      </c>
      <c r="B453" s="100">
        <v>1520100000</v>
      </c>
      <c r="C453" s="100"/>
      <c r="D453" s="101" t="s">
        <v>311</v>
      </c>
      <c r="E453" s="21">
        <f>E454</f>
        <v>25.5</v>
      </c>
      <c r="F453" s="21">
        <f t="shared" si="159"/>
        <v>0</v>
      </c>
      <c r="G453" s="21">
        <f t="shared" si="159"/>
        <v>0</v>
      </c>
    </row>
    <row r="454" spans="1:7" ht="31.5">
      <c r="A454" s="100" t="s">
        <v>102</v>
      </c>
      <c r="B454" s="11" t="s">
        <v>376</v>
      </c>
      <c r="C454" s="100"/>
      <c r="D454" s="101" t="s">
        <v>377</v>
      </c>
      <c r="E454" s="21">
        <f>E455</f>
        <v>25.5</v>
      </c>
      <c r="F454" s="21">
        <f t="shared" si="159"/>
        <v>0</v>
      </c>
      <c r="G454" s="21">
        <f t="shared" si="159"/>
        <v>0</v>
      </c>
    </row>
    <row r="455" spans="1:7" ht="31.5">
      <c r="A455" s="100" t="s">
        <v>102</v>
      </c>
      <c r="B455" s="11" t="s">
        <v>376</v>
      </c>
      <c r="C455" s="102" t="s">
        <v>112</v>
      </c>
      <c r="D455" s="101" t="s">
        <v>113</v>
      </c>
      <c r="E455" s="21">
        <f>E456</f>
        <v>25.5</v>
      </c>
      <c r="F455" s="21">
        <f t="shared" si="159"/>
        <v>0</v>
      </c>
      <c r="G455" s="21">
        <f t="shared" si="159"/>
        <v>0</v>
      </c>
    </row>
    <row r="456" spans="1:7" ht="12.75">
      <c r="A456" s="100" t="s">
        <v>102</v>
      </c>
      <c r="B456" s="11" t="s">
        <v>376</v>
      </c>
      <c r="C456" s="100">
        <v>610</v>
      </c>
      <c r="D456" s="101" t="s">
        <v>130</v>
      </c>
      <c r="E456" s="21">
        <v>25.5</v>
      </c>
      <c r="F456" s="21">
        <v>0</v>
      </c>
      <c r="G456" s="21">
        <v>0</v>
      </c>
    </row>
    <row r="457" spans="1:7" ht="12.75">
      <c r="A457" s="112" t="s">
        <v>102</v>
      </c>
      <c r="B457" s="112">
        <v>9900000000</v>
      </c>
      <c r="C457" s="112"/>
      <c r="D457" s="113" t="s">
        <v>131</v>
      </c>
      <c r="E457" s="21">
        <f>E458</f>
        <v>430</v>
      </c>
      <c r="F457" s="21">
        <f aca="true" t="shared" si="160" ref="F457:G460">F458</f>
        <v>0</v>
      </c>
      <c r="G457" s="21">
        <f t="shared" si="160"/>
        <v>0</v>
      </c>
    </row>
    <row r="458" spans="1:7" ht="47.25">
      <c r="A458" s="112" t="s">
        <v>102</v>
      </c>
      <c r="B458" s="112">
        <v>9920000000</v>
      </c>
      <c r="C458" s="112"/>
      <c r="D458" s="113" t="s">
        <v>383</v>
      </c>
      <c r="E458" s="21">
        <f>E459</f>
        <v>430</v>
      </c>
      <c r="F458" s="21">
        <f t="shared" si="160"/>
        <v>0</v>
      </c>
      <c r="G458" s="21">
        <f t="shared" si="160"/>
        <v>0</v>
      </c>
    </row>
    <row r="459" spans="1:7" ht="47.25">
      <c r="A459" s="112" t="s">
        <v>102</v>
      </c>
      <c r="B459" s="112">
        <v>9920010920</v>
      </c>
      <c r="C459" s="112"/>
      <c r="D459" s="113" t="s">
        <v>384</v>
      </c>
      <c r="E459" s="21">
        <f>E460</f>
        <v>430</v>
      </c>
      <c r="F459" s="21">
        <f t="shared" si="160"/>
        <v>0</v>
      </c>
      <c r="G459" s="21">
        <f t="shared" si="160"/>
        <v>0</v>
      </c>
    </row>
    <row r="460" spans="1:7" ht="31.5">
      <c r="A460" s="112" t="s">
        <v>102</v>
      </c>
      <c r="B460" s="112">
        <v>9920010920</v>
      </c>
      <c r="C460" s="114" t="s">
        <v>112</v>
      </c>
      <c r="D460" s="113" t="s">
        <v>113</v>
      </c>
      <c r="E460" s="21">
        <f>E461</f>
        <v>430</v>
      </c>
      <c r="F460" s="21">
        <f t="shared" si="160"/>
        <v>0</v>
      </c>
      <c r="G460" s="21">
        <f t="shared" si="160"/>
        <v>0</v>
      </c>
    </row>
    <row r="461" spans="1:7" ht="12.75">
      <c r="A461" s="112" t="s">
        <v>102</v>
      </c>
      <c r="B461" s="112">
        <v>9920010920</v>
      </c>
      <c r="C461" s="112">
        <v>610</v>
      </c>
      <c r="D461" s="113" t="s">
        <v>130</v>
      </c>
      <c r="E461" s="21">
        <f>'№4 '!F301</f>
        <v>430</v>
      </c>
      <c r="F461" s="21">
        <f>'№4 '!G301</f>
        <v>0</v>
      </c>
      <c r="G461" s="21">
        <f>'№4 '!H301</f>
        <v>0</v>
      </c>
    </row>
    <row r="462" spans="1:7" ht="31.5">
      <c r="A462" s="29" t="s">
        <v>276</v>
      </c>
      <c r="B462" s="59"/>
      <c r="C462" s="59"/>
      <c r="D462" s="15" t="s">
        <v>470</v>
      </c>
      <c r="E462" s="21">
        <f aca="true" t="shared" si="161" ref="E462:G467">E463</f>
        <v>479</v>
      </c>
      <c r="F462" s="21">
        <f t="shared" si="161"/>
        <v>479</v>
      </c>
      <c r="G462" s="21">
        <f t="shared" si="161"/>
        <v>479</v>
      </c>
    </row>
    <row r="463" spans="1:7" ht="48.75" customHeight="1">
      <c r="A463" s="29" t="s">
        <v>276</v>
      </c>
      <c r="B463" s="61">
        <v>1600000000</v>
      </c>
      <c r="C463" s="61"/>
      <c r="D463" s="60" t="s">
        <v>140</v>
      </c>
      <c r="E463" s="21">
        <f t="shared" si="161"/>
        <v>479</v>
      </c>
      <c r="F463" s="21">
        <f t="shared" si="161"/>
        <v>479</v>
      </c>
      <c r="G463" s="21">
        <f t="shared" si="161"/>
        <v>479</v>
      </c>
    </row>
    <row r="464" spans="1:7" ht="48" customHeight="1">
      <c r="A464" s="29" t="s">
        <v>276</v>
      </c>
      <c r="B464" s="61">
        <v>1640000000</v>
      </c>
      <c r="C464" s="1"/>
      <c r="D464" s="23" t="s">
        <v>279</v>
      </c>
      <c r="E464" s="21">
        <f t="shared" si="161"/>
        <v>479</v>
      </c>
      <c r="F464" s="21">
        <f t="shared" si="161"/>
        <v>479</v>
      </c>
      <c r="G464" s="21">
        <f t="shared" si="161"/>
        <v>479</v>
      </c>
    </row>
    <row r="465" spans="1:7" ht="32.45" customHeight="1">
      <c r="A465" s="29" t="s">
        <v>276</v>
      </c>
      <c r="B465" s="61">
        <v>1640100000</v>
      </c>
      <c r="C465" s="59"/>
      <c r="D465" s="60" t="s">
        <v>281</v>
      </c>
      <c r="E465" s="21">
        <f t="shared" si="161"/>
        <v>479</v>
      </c>
      <c r="F465" s="21">
        <f t="shared" si="161"/>
        <v>479</v>
      </c>
      <c r="G465" s="21">
        <f t="shared" si="161"/>
        <v>479</v>
      </c>
    </row>
    <row r="466" spans="1:7" ht="19.15" customHeight="1">
      <c r="A466" s="29" t="s">
        <v>276</v>
      </c>
      <c r="B466" s="61">
        <v>1640120510</v>
      </c>
      <c r="C466" s="59"/>
      <c r="D466" s="60" t="s">
        <v>283</v>
      </c>
      <c r="E466" s="21">
        <f t="shared" si="161"/>
        <v>479</v>
      </c>
      <c r="F466" s="21">
        <f t="shared" si="161"/>
        <v>479</v>
      </c>
      <c r="G466" s="21">
        <f t="shared" si="161"/>
        <v>479</v>
      </c>
    </row>
    <row r="467" spans="1:7" ht="32.45" customHeight="1">
      <c r="A467" s="29" t="s">
        <v>276</v>
      </c>
      <c r="B467" s="61">
        <v>1640120510</v>
      </c>
      <c r="C467" s="61" t="s">
        <v>75</v>
      </c>
      <c r="D467" s="60" t="s">
        <v>110</v>
      </c>
      <c r="E467" s="21">
        <f t="shared" si="161"/>
        <v>479</v>
      </c>
      <c r="F467" s="21">
        <f t="shared" si="161"/>
        <v>479</v>
      </c>
      <c r="G467" s="21">
        <f t="shared" si="161"/>
        <v>479</v>
      </c>
    </row>
    <row r="468" spans="1:7" ht="32.45" customHeight="1">
      <c r="A468" s="29" t="s">
        <v>276</v>
      </c>
      <c r="B468" s="61">
        <v>1640120510</v>
      </c>
      <c r="C468" s="59">
        <v>240</v>
      </c>
      <c r="D468" s="60" t="s">
        <v>469</v>
      </c>
      <c r="E468" s="21">
        <f>'№4 '!F819+'№4 '!F520+'№4 '!F308</f>
        <v>479</v>
      </c>
      <c r="F468" s="21">
        <f>'№4 '!G819+'№4 '!G520+'№4 '!G308</f>
        <v>479</v>
      </c>
      <c r="G468" s="21">
        <f>'№4 '!H819+'№4 '!H520+'№4 '!H308</f>
        <v>479</v>
      </c>
    </row>
    <row r="469" spans="1:7" ht="12.75">
      <c r="A469" s="59" t="s">
        <v>43</v>
      </c>
      <c r="B469" s="59" t="s">
        <v>72</v>
      </c>
      <c r="C469" s="59" t="s">
        <v>72</v>
      </c>
      <c r="D469" s="31" t="s">
        <v>118</v>
      </c>
      <c r="E469" s="28">
        <f>E470+E490</f>
        <v>3603.8999999999996</v>
      </c>
      <c r="F469" s="28">
        <f>F470+F490</f>
        <v>386.79999999999995</v>
      </c>
      <c r="G469" s="28">
        <f>G470+G490</f>
        <v>386.79999999999995</v>
      </c>
    </row>
    <row r="470" spans="1:7" ht="37.5" customHeight="1">
      <c r="A470" s="59" t="s">
        <v>43</v>
      </c>
      <c r="B470" s="61">
        <v>1100000000</v>
      </c>
      <c r="C470" s="59"/>
      <c r="D470" s="60" t="s">
        <v>247</v>
      </c>
      <c r="E470" s="21">
        <f>E481+E471</f>
        <v>3457.2999999999997</v>
      </c>
      <c r="F470" s="21">
        <f>F481+F471</f>
        <v>262.4</v>
      </c>
      <c r="G470" s="21">
        <f>G481+G471</f>
        <v>262.4</v>
      </c>
    </row>
    <row r="471" spans="1:7" ht="12.75">
      <c r="A471" s="59" t="s">
        <v>43</v>
      </c>
      <c r="B471" s="59">
        <v>1110000000</v>
      </c>
      <c r="C471" s="59"/>
      <c r="D471" s="31" t="s">
        <v>225</v>
      </c>
      <c r="E471" s="21">
        <f>E472</f>
        <v>3367.8999999999996</v>
      </c>
      <c r="F471" s="21">
        <f aca="true" t="shared" si="162" ref="F471:G479">F472</f>
        <v>168.7</v>
      </c>
      <c r="G471" s="21">
        <f t="shared" si="162"/>
        <v>168.7</v>
      </c>
    </row>
    <row r="472" spans="1:7" ht="15" customHeight="1">
      <c r="A472" s="59" t="s">
        <v>43</v>
      </c>
      <c r="B472" s="59">
        <v>1110400000</v>
      </c>
      <c r="C472" s="59"/>
      <c r="D472" s="31" t="s">
        <v>236</v>
      </c>
      <c r="E472" s="21">
        <f>E478+E473</f>
        <v>3367.8999999999996</v>
      </c>
      <c r="F472" s="21">
        <f aca="true" t="shared" si="163" ref="F472:G472">F478+F473</f>
        <v>168.7</v>
      </c>
      <c r="G472" s="21">
        <f t="shared" si="163"/>
        <v>168.7</v>
      </c>
    </row>
    <row r="473" spans="1:7" ht="31.5">
      <c r="A473" s="59" t="s">
        <v>43</v>
      </c>
      <c r="B473" s="59">
        <v>1110410240</v>
      </c>
      <c r="C473" s="59"/>
      <c r="D473" s="60" t="s">
        <v>312</v>
      </c>
      <c r="E473" s="21">
        <f>E474+E476</f>
        <v>3209.2</v>
      </c>
      <c r="F473" s="21">
        <f aca="true" t="shared" si="164" ref="F473:G473">F474+F476</f>
        <v>0</v>
      </c>
      <c r="G473" s="21">
        <f t="shared" si="164"/>
        <v>0</v>
      </c>
    </row>
    <row r="474" spans="1:7" ht="12.75">
      <c r="A474" s="59" t="s">
        <v>43</v>
      </c>
      <c r="B474" s="59">
        <v>1110410240</v>
      </c>
      <c r="C474" s="1" t="s">
        <v>79</v>
      </c>
      <c r="D474" s="37" t="s">
        <v>80</v>
      </c>
      <c r="E474" s="21">
        <f>E475</f>
        <v>49.30000000000001</v>
      </c>
      <c r="F474" s="21">
        <f aca="true" t="shared" si="165" ref="F474:G474">F475</f>
        <v>0</v>
      </c>
      <c r="G474" s="21">
        <f t="shared" si="165"/>
        <v>0</v>
      </c>
    </row>
    <row r="475" spans="1:7" ht="31.5">
      <c r="A475" s="59" t="s">
        <v>43</v>
      </c>
      <c r="B475" s="59">
        <v>1110410240</v>
      </c>
      <c r="C475" s="59">
        <v>320</v>
      </c>
      <c r="D475" s="60" t="s">
        <v>128</v>
      </c>
      <c r="E475" s="21">
        <f>'№4 '!F826</f>
        <v>49.30000000000001</v>
      </c>
      <c r="F475" s="21">
        <f>'№4 '!G826</f>
        <v>0</v>
      </c>
      <c r="G475" s="21">
        <f>'№4 '!H826</f>
        <v>0</v>
      </c>
    </row>
    <row r="476" spans="1:7" ht="31.5">
      <c r="A476" s="59" t="s">
        <v>43</v>
      </c>
      <c r="B476" s="59">
        <v>1110410240</v>
      </c>
      <c r="C476" s="61" t="s">
        <v>112</v>
      </c>
      <c r="D476" s="60" t="s">
        <v>113</v>
      </c>
      <c r="E476" s="21">
        <f>E477</f>
        <v>3159.8999999999996</v>
      </c>
      <c r="F476" s="21">
        <f aca="true" t="shared" si="166" ref="F476:G476">F477</f>
        <v>0</v>
      </c>
      <c r="G476" s="21">
        <f t="shared" si="166"/>
        <v>0</v>
      </c>
    </row>
    <row r="477" spans="1:7" ht="12.75">
      <c r="A477" s="59" t="s">
        <v>43</v>
      </c>
      <c r="B477" s="59">
        <v>1110410240</v>
      </c>
      <c r="C477" s="59">
        <v>610</v>
      </c>
      <c r="D477" s="60" t="s">
        <v>130</v>
      </c>
      <c r="E477" s="21">
        <f>'№4 '!F828+'№4 '!F315</f>
        <v>3159.8999999999996</v>
      </c>
      <c r="F477" s="21">
        <f>'№4 '!G828+'№4 '!G315</f>
        <v>0</v>
      </c>
      <c r="G477" s="21">
        <f>'№4 '!H828+'№4 '!H315</f>
        <v>0</v>
      </c>
    </row>
    <row r="478" spans="1:7" ht="31.5">
      <c r="A478" s="59" t="s">
        <v>43</v>
      </c>
      <c r="B478" s="59" t="s">
        <v>238</v>
      </c>
      <c r="C478" s="59"/>
      <c r="D478" s="31" t="s">
        <v>237</v>
      </c>
      <c r="E478" s="21">
        <f>E479</f>
        <v>158.7</v>
      </c>
      <c r="F478" s="21">
        <f t="shared" si="162"/>
        <v>168.7</v>
      </c>
      <c r="G478" s="21">
        <f t="shared" si="162"/>
        <v>168.7</v>
      </c>
    </row>
    <row r="479" spans="1:7" ht="12.75">
      <c r="A479" s="59" t="s">
        <v>43</v>
      </c>
      <c r="B479" s="59" t="s">
        <v>238</v>
      </c>
      <c r="C479" s="1" t="s">
        <v>79</v>
      </c>
      <c r="D479" s="2" t="s">
        <v>80</v>
      </c>
      <c r="E479" s="21">
        <f>E480</f>
        <v>158.7</v>
      </c>
      <c r="F479" s="21">
        <f t="shared" si="162"/>
        <v>168.7</v>
      </c>
      <c r="G479" s="21">
        <f t="shared" si="162"/>
        <v>168.7</v>
      </c>
    </row>
    <row r="480" spans="1:7" ht="31.5">
      <c r="A480" s="59" t="s">
        <v>43</v>
      </c>
      <c r="B480" s="59" t="s">
        <v>238</v>
      </c>
      <c r="C480" s="59">
        <v>320</v>
      </c>
      <c r="D480" s="60" t="s">
        <v>128</v>
      </c>
      <c r="E480" s="21">
        <f>'№4 '!F831</f>
        <v>158.7</v>
      </c>
      <c r="F480" s="21">
        <f>'№4 '!G831</f>
        <v>168.7</v>
      </c>
      <c r="G480" s="21">
        <f>'№4 '!H831</f>
        <v>168.7</v>
      </c>
    </row>
    <row r="481" spans="1:7" ht="31.5">
      <c r="A481" s="59" t="s">
        <v>43</v>
      </c>
      <c r="B481" s="61">
        <v>1130000000</v>
      </c>
      <c r="C481" s="59"/>
      <c r="D481" s="31" t="s">
        <v>142</v>
      </c>
      <c r="E481" s="21">
        <f>E482+E486</f>
        <v>89.4</v>
      </c>
      <c r="F481" s="21">
        <f aca="true" t="shared" si="167" ref="F481:G481">F482+F486</f>
        <v>93.69999999999999</v>
      </c>
      <c r="G481" s="21">
        <f t="shared" si="167"/>
        <v>93.69999999999999</v>
      </c>
    </row>
    <row r="482" spans="1:7" ht="31.5">
      <c r="A482" s="59" t="s">
        <v>43</v>
      </c>
      <c r="B482" s="59">
        <v>1130200000</v>
      </c>
      <c r="C482" s="59"/>
      <c r="D482" s="31" t="s">
        <v>239</v>
      </c>
      <c r="E482" s="21">
        <f>E483</f>
        <v>21.9</v>
      </c>
      <c r="F482" s="21">
        <f aca="true" t="shared" si="168" ref="F482:G484">F483</f>
        <v>23.9</v>
      </c>
      <c r="G482" s="21">
        <f t="shared" si="168"/>
        <v>23.9</v>
      </c>
    </row>
    <row r="483" spans="1:7" ht="30.75" customHeight="1">
      <c r="A483" s="59" t="s">
        <v>43</v>
      </c>
      <c r="B483" s="59">
        <v>1130220270</v>
      </c>
      <c r="C483" s="59"/>
      <c r="D483" s="31" t="s">
        <v>240</v>
      </c>
      <c r="E483" s="21">
        <f>E484</f>
        <v>21.9</v>
      </c>
      <c r="F483" s="21">
        <f t="shared" si="168"/>
        <v>23.9</v>
      </c>
      <c r="G483" s="21">
        <f t="shared" si="168"/>
        <v>23.9</v>
      </c>
    </row>
    <row r="484" spans="1:7" ht="12.75">
      <c r="A484" s="59" t="s">
        <v>43</v>
      </c>
      <c r="B484" s="59">
        <v>1130220270</v>
      </c>
      <c r="C484" s="61" t="s">
        <v>79</v>
      </c>
      <c r="D484" s="60" t="s">
        <v>80</v>
      </c>
      <c r="E484" s="21">
        <f>E485</f>
        <v>21.9</v>
      </c>
      <c r="F484" s="21">
        <f t="shared" si="168"/>
        <v>23.9</v>
      </c>
      <c r="G484" s="21">
        <f t="shared" si="168"/>
        <v>23.9</v>
      </c>
    </row>
    <row r="485" spans="1:7" ht="12.75">
      <c r="A485" s="59" t="s">
        <v>43</v>
      </c>
      <c r="B485" s="59">
        <v>1130220270</v>
      </c>
      <c r="C485" s="59">
        <v>350</v>
      </c>
      <c r="D485" s="31" t="s">
        <v>204</v>
      </c>
      <c r="E485" s="21">
        <f>'№4 '!F320</f>
        <v>21.9</v>
      </c>
      <c r="F485" s="21">
        <f>'№4 '!G320</f>
        <v>23.9</v>
      </c>
      <c r="G485" s="21">
        <f>'№4 '!H320</f>
        <v>23.9</v>
      </c>
    </row>
    <row r="486" spans="1:7" ht="31.5">
      <c r="A486" s="59" t="s">
        <v>43</v>
      </c>
      <c r="B486" s="59">
        <v>1130400000</v>
      </c>
      <c r="C486" s="59"/>
      <c r="D486" s="31" t="s">
        <v>181</v>
      </c>
      <c r="E486" s="21">
        <f>E487</f>
        <v>67.5</v>
      </c>
      <c r="F486" s="21">
        <f aca="true" t="shared" si="169" ref="F486:G488">F487</f>
        <v>69.8</v>
      </c>
      <c r="G486" s="21">
        <f t="shared" si="169"/>
        <v>69.8</v>
      </c>
    </row>
    <row r="487" spans="1:7" ht="31.5">
      <c r="A487" s="59" t="s">
        <v>43</v>
      </c>
      <c r="B487" s="59">
        <v>1130420290</v>
      </c>
      <c r="C487" s="59"/>
      <c r="D487" s="31" t="s">
        <v>182</v>
      </c>
      <c r="E487" s="21">
        <f>E488</f>
        <v>67.5</v>
      </c>
      <c r="F487" s="21">
        <f t="shared" si="169"/>
        <v>69.8</v>
      </c>
      <c r="G487" s="21">
        <f t="shared" si="169"/>
        <v>69.8</v>
      </c>
    </row>
    <row r="488" spans="1:7" ht="31.5">
      <c r="A488" s="59" t="s">
        <v>43</v>
      </c>
      <c r="B488" s="59">
        <v>1130420290</v>
      </c>
      <c r="C488" s="61" t="s">
        <v>112</v>
      </c>
      <c r="D488" s="60" t="s">
        <v>113</v>
      </c>
      <c r="E488" s="21">
        <f>E489</f>
        <v>67.5</v>
      </c>
      <c r="F488" s="21">
        <f t="shared" si="169"/>
        <v>69.8</v>
      </c>
      <c r="G488" s="21">
        <f t="shared" si="169"/>
        <v>69.8</v>
      </c>
    </row>
    <row r="489" spans="1:7" ht="12.75">
      <c r="A489" s="59" t="s">
        <v>43</v>
      </c>
      <c r="B489" s="59">
        <v>1130420290</v>
      </c>
      <c r="C489" s="59">
        <v>610</v>
      </c>
      <c r="D489" s="60" t="s">
        <v>130</v>
      </c>
      <c r="E489" s="21">
        <f>'№4 '!F324</f>
        <v>67.5</v>
      </c>
      <c r="F489" s="21">
        <f>'№4 '!G324</f>
        <v>69.8</v>
      </c>
      <c r="G489" s="21">
        <f>'№4 '!H324</f>
        <v>69.8</v>
      </c>
    </row>
    <row r="490" spans="1:7" ht="47.25">
      <c r="A490" s="59" t="s">
        <v>43</v>
      </c>
      <c r="B490" s="61">
        <v>1200000000</v>
      </c>
      <c r="C490" s="59"/>
      <c r="D490" s="31" t="s">
        <v>242</v>
      </c>
      <c r="E490" s="21">
        <f>E491</f>
        <v>146.6</v>
      </c>
      <c r="F490" s="21">
        <f aca="true" t="shared" si="170" ref="F490:G491">F491</f>
        <v>124.4</v>
      </c>
      <c r="G490" s="21">
        <f t="shared" si="170"/>
        <v>124.4</v>
      </c>
    </row>
    <row r="491" spans="1:7" ht="31.5">
      <c r="A491" s="59" t="s">
        <v>43</v>
      </c>
      <c r="B491" s="61">
        <v>1240000000</v>
      </c>
      <c r="C491" s="11"/>
      <c r="D491" s="31" t="s">
        <v>171</v>
      </c>
      <c r="E491" s="21">
        <f>E492</f>
        <v>146.6</v>
      </c>
      <c r="F491" s="21">
        <f t="shared" si="170"/>
        <v>124.4</v>
      </c>
      <c r="G491" s="21">
        <f t="shared" si="170"/>
        <v>124.4</v>
      </c>
    </row>
    <row r="492" spans="1:7" ht="31.5">
      <c r="A492" s="59" t="s">
        <v>43</v>
      </c>
      <c r="B492" s="11" t="s">
        <v>173</v>
      </c>
      <c r="C492" s="11"/>
      <c r="D492" s="31" t="s">
        <v>172</v>
      </c>
      <c r="E492" s="21">
        <f>E496+E499+E502+E493</f>
        <v>146.6</v>
      </c>
      <c r="F492" s="21">
        <f aca="true" t="shared" si="171" ref="F492:G492">F496+F499+F502+F493</f>
        <v>124.4</v>
      </c>
      <c r="G492" s="21">
        <f t="shared" si="171"/>
        <v>124.4</v>
      </c>
    </row>
    <row r="493" spans="1:7" ht="12.75">
      <c r="A493" s="3" t="s">
        <v>43</v>
      </c>
      <c r="B493" s="11" t="s">
        <v>275</v>
      </c>
      <c r="C493" s="13"/>
      <c r="D493" s="31" t="s">
        <v>186</v>
      </c>
      <c r="E493" s="21">
        <f>E494</f>
        <v>74.3</v>
      </c>
      <c r="F493" s="21">
        <f aca="true" t="shared" si="172" ref="F493:G494">F494</f>
        <v>51</v>
      </c>
      <c r="G493" s="21">
        <f t="shared" si="172"/>
        <v>51</v>
      </c>
    </row>
    <row r="494" spans="1:7" ht="31.5">
      <c r="A494" s="3" t="s">
        <v>43</v>
      </c>
      <c r="B494" s="11" t="s">
        <v>275</v>
      </c>
      <c r="C494" s="61" t="s">
        <v>112</v>
      </c>
      <c r="D494" s="60" t="s">
        <v>113</v>
      </c>
      <c r="E494" s="21">
        <f>E495</f>
        <v>74.3</v>
      </c>
      <c r="F494" s="21">
        <f t="shared" si="172"/>
        <v>51</v>
      </c>
      <c r="G494" s="21">
        <f t="shared" si="172"/>
        <v>51</v>
      </c>
    </row>
    <row r="495" spans="1:7" ht="12.75">
      <c r="A495" s="3" t="s">
        <v>43</v>
      </c>
      <c r="B495" s="11" t="s">
        <v>275</v>
      </c>
      <c r="C495" s="59">
        <v>610</v>
      </c>
      <c r="D495" s="60" t="s">
        <v>130</v>
      </c>
      <c r="E495" s="21">
        <f>'№4 '!F330</f>
        <v>74.3</v>
      </c>
      <c r="F495" s="21">
        <f>'№4 '!G330</f>
        <v>51</v>
      </c>
      <c r="G495" s="21">
        <f>'№4 '!H330</f>
        <v>51</v>
      </c>
    </row>
    <row r="496" spans="1:7" ht="31.5">
      <c r="A496" s="59" t="s">
        <v>43</v>
      </c>
      <c r="B496" s="11" t="s">
        <v>175</v>
      </c>
      <c r="C496" s="11"/>
      <c r="D496" s="31" t="s">
        <v>174</v>
      </c>
      <c r="E496" s="21">
        <f>E497</f>
        <v>22.3</v>
      </c>
      <c r="F496" s="21">
        <f aca="true" t="shared" si="173" ref="F496:G497">F497</f>
        <v>22.9</v>
      </c>
      <c r="G496" s="21">
        <f t="shared" si="173"/>
        <v>22.9</v>
      </c>
    </row>
    <row r="497" spans="1:7" ht="31.5">
      <c r="A497" s="59" t="s">
        <v>43</v>
      </c>
      <c r="B497" s="11" t="s">
        <v>175</v>
      </c>
      <c r="C497" s="61" t="s">
        <v>75</v>
      </c>
      <c r="D497" s="60" t="s">
        <v>110</v>
      </c>
      <c r="E497" s="21">
        <f>E498</f>
        <v>22.3</v>
      </c>
      <c r="F497" s="21">
        <f t="shared" si="173"/>
        <v>22.9</v>
      </c>
      <c r="G497" s="21">
        <f t="shared" si="173"/>
        <v>22.9</v>
      </c>
    </row>
    <row r="498" spans="1:7" ht="33" customHeight="1">
      <c r="A498" s="59" t="s">
        <v>43</v>
      </c>
      <c r="B498" s="11" t="s">
        <v>175</v>
      </c>
      <c r="C498" s="59">
        <v>240</v>
      </c>
      <c r="D498" s="199" t="s">
        <v>469</v>
      </c>
      <c r="E498" s="21">
        <f>'№4 '!F635+'№4 '!F333</f>
        <v>22.3</v>
      </c>
      <c r="F498" s="21">
        <f>'№4 '!G635+'№4 '!G333</f>
        <v>22.9</v>
      </c>
      <c r="G498" s="21">
        <f>'№4 '!H635+'№4 '!H333</f>
        <v>22.9</v>
      </c>
    </row>
    <row r="499" spans="1:7" ht="31.5">
      <c r="A499" s="59" t="s">
        <v>43</v>
      </c>
      <c r="B499" s="11" t="s">
        <v>177</v>
      </c>
      <c r="C499" s="11"/>
      <c r="D499" s="31" t="s">
        <v>176</v>
      </c>
      <c r="E499" s="21">
        <f>E500</f>
        <v>14</v>
      </c>
      <c r="F499" s="21">
        <f aca="true" t="shared" si="174" ref="F499:G500">F500</f>
        <v>14.5</v>
      </c>
      <c r="G499" s="21">
        <f t="shared" si="174"/>
        <v>14.5</v>
      </c>
    </row>
    <row r="500" spans="1:7" ht="31.5">
      <c r="A500" s="59" t="s">
        <v>43</v>
      </c>
      <c r="B500" s="11" t="s">
        <v>177</v>
      </c>
      <c r="C500" s="61" t="s">
        <v>75</v>
      </c>
      <c r="D500" s="60" t="s">
        <v>110</v>
      </c>
      <c r="E500" s="21">
        <f>E501</f>
        <v>14</v>
      </c>
      <c r="F500" s="21">
        <f t="shared" si="174"/>
        <v>14.5</v>
      </c>
      <c r="G500" s="21">
        <f t="shared" si="174"/>
        <v>14.5</v>
      </c>
    </row>
    <row r="501" spans="1:7" ht="35.45" customHeight="1">
      <c r="A501" s="59" t="s">
        <v>43</v>
      </c>
      <c r="B501" s="11" t="s">
        <v>177</v>
      </c>
      <c r="C501" s="59">
        <v>240</v>
      </c>
      <c r="D501" s="199" t="s">
        <v>469</v>
      </c>
      <c r="E501" s="21">
        <f>'№4 '!F336</f>
        <v>14</v>
      </c>
      <c r="F501" s="21">
        <f>'№4 '!G336</f>
        <v>14.5</v>
      </c>
      <c r="G501" s="21">
        <f>'№4 '!H336</f>
        <v>14.5</v>
      </c>
    </row>
    <row r="502" spans="1:7" ht="12.75">
      <c r="A502" s="59" t="s">
        <v>43</v>
      </c>
      <c r="B502" s="11" t="s">
        <v>278</v>
      </c>
      <c r="C502" s="11"/>
      <c r="D502" s="31" t="s">
        <v>178</v>
      </c>
      <c r="E502" s="21">
        <f>E503</f>
        <v>36</v>
      </c>
      <c r="F502" s="21">
        <f aca="true" t="shared" si="175" ref="F502:G503">F503</f>
        <v>36</v>
      </c>
      <c r="G502" s="21">
        <f t="shared" si="175"/>
        <v>36</v>
      </c>
    </row>
    <row r="503" spans="1:7" ht="12.75">
      <c r="A503" s="59" t="s">
        <v>43</v>
      </c>
      <c r="B503" s="11" t="s">
        <v>278</v>
      </c>
      <c r="C503" s="61" t="s">
        <v>79</v>
      </c>
      <c r="D503" s="60" t="s">
        <v>80</v>
      </c>
      <c r="E503" s="21">
        <f>E504</f>
        <v>36</v>
      </c>
      <c r="F503" s="21">
        <f t="shared" si="175"/>
        <v>36</v>
      </c>
      <c r="G503" s="21">
        <f t="shared" si="175"/>
        <v>36</v>
      </c>
    </row>
    <row r="504" spans="1:7" ht="12.75">
      <c r="A504" s="59" t="s">
        <v>43</v>
      </c>
      <c r="B504" s="11" t="s">
        <v>278</v>
      </c>
      <c r="C504" s="11" t="s">
        <v>179</v>
      </c>
      <c r="D504" s="31" t="s">
        <v>180</v>
      </c>
      <c r="E504" s="21">
        <f>'№4 '!F638+'№4 '!F339</f>
        <v>36</v>
      </c>
      <c r="F504" s="21">
        <f>'№4 '!G638+'№4 '!G339</f>
        <v>36</v>
      </c>
      <c r="G504" s="21">
        <f>'№4 '!H638+'№4 '!H339</f>
        <v>36</v>
      </c>
    </row>
    <row r="505" spans="1:7" ht="12.75">
      <c r="A505" s="59" t="s">
        <v>58</v>
      </c>
      <c r="B505" s="59" t="s">
        <v>72</v>
      </c>
      <c r="C505" s="59" t="s">
        <v>72</v>
      </c>
      <c r="D505" s="31" t="s">
        <v>16</v>
      </c>
      <c r="E505" s="21">
        <f>E506+E518</f>
        <v>7350.9</v>
      </c>
      <c r="F505" s="21">
        <f>F506+F518</f>
        <v>5926.7</v>
      </c>
      <c r="G505" s="21">
        <f>G506+G518</f>
        <v>5926.7</v>
      </c>
    </row>
    <row r="506" spans="1:7" ht="32.25" customHeight="1">
      <c r="A506" s="59" t="s">
        <v>58</v>
      </c>
      <c r="B506" s="61">
        <v>1100000000</v>
      </c>
      <c r="C506" s="59"/>
      <c r="D506" s="60" t="s">
        <v>247</v>
      </c>
      <c r="E506" s="21">
        <f>E507</f>
        <v>396.79999999999995</v>
      </c>
      <c r="F506" s="21">
        <f aca="true" t="shared" si="176" ref="F506:G516">F507</f>
        <v>396.79999999999995</v>
      </c>
      <c r="G506" s="21">
        <f t="shared" si="176"/>
        <v>396.79999999999995</v>
      </c>
    </row>
    <row r="507" spans="1:7" ht="31.5">
      <c r="A507" s="59" t="s">
        <v>58</v>
      </c>
      <c r="B507" s="61">
        <v>1130000000</v>
      </c>
      <c r="C507" s="31"/>
      <c r="D507" s="31" t="s">
        <v>142</v>
      </c>
      <c r="E507" s="21">
        <f>E514+E508</f>
        <v>396.79999999999995</v>
      </c>
      <c r="F507" s="21">
        <f>F514+F508</f>
        <v>396.79999999999995</v>
      </c>
      <c r="G507" s="21">
        <f>G514+G508</f>
        <v>396.79999999999995</v>
      </c>
    </row>
    <row r="508" spans="1:7" ht="31.5">
      <c r="A508" s="59" t="s">
        <v>58</v>
      </c>
      <c r="B508" s="59">
        <v>1130100000</v>
      </c>
      <c r="C508" s="31"/>
      <c r="D508" s="31" t="s">
        <v>293</v>
      </c>
      <c r="E508" s="21">
        <f>E509</f>
        <v>259.9</v>
      </c>
      <c r="F508" s="21">
        <f aca="true" t="shared" si="177" ref="F508:G510">F509</f>
        <v>259.9</v>
      </c>
      <c r="G508" s="21">
        <f t="shared" si="177"/>
        <v>259.9</v>
      </c>
    </row>
    <row r="509" spans="1:7" ht="31.5">
      <c r="A509" s="59" t="s">
        <v>58</v>
      </c>
      <c r="B509" s="61">
        <v>1130120260</v>
      </c>
      <c r="C509" s="31"/>
      <c r="D509" s="31" t="s">
        <v>295</v>
      </c>
      <c r="E509" s="21">
        <f>E510+E512</f>
        <v>259.9</v>
      </c>
      <c r="F509" s="21">
        <f aca="true" t="shared" si="178" ref="F509:G509">F510+F512</f>
        <v>259.9</v>
      </c>
      <c r="G509" s="21">
        <f t="shared" si="178"/>
        <v>259.9</v>
      </c>
    </row>
    <row r="510" spans="1:7" ht="31.5">
      <c r="A510" s="59" t="s">
        <v>58</v>
      </c>
      <c r="B510" s="61">
        <v>1130120260</v>
      </c>
      <c r="C510" s="59" t="s">
        <v>75</v>
      </c>
      <c r="D510" s="31" t="s">
        <v>110</v>
      </c>
      <c r="E510" s="21">
        <f>E511</f>
        <v>169.59999999999997</v>
      </c>
      <c r="F510" s="21">
        <f t="shared" si="177"/>
        <v>169.59999999999997</v>
      </c>
      <c r="G510" s="21">
        <f t="shared" si="177"/>
        <v>169.59999999999997</v>
      </c>
    </row>
    <row r="511" spans="1:7" ht="31.15" customHeight="1">
      <c r="A511" s="59" t="s">
        <v>58</v>
      </c>
      <c r="B511" s="61">
        <v>1130120260</v>
      </c>
      <c r="C511" s="59">
        <v>240</v>
      </c>
      <c r="D511" s="199" t="s">
        <v>469</v>
      </c>
      <c r="E511" s="21">
        <f>'№4 '!F838</f>
        <v>169.59999999999997</v>
      </c>
      <c r="F511" s="21">
        <f>'№4 '!G838</f>
        <v>169.59999999999997</v>
      </c>
      <c r="G511" s="21">
        <f>'№4 '!H838</f>
        <v>169.59999999999997</v>
      </c>
    </row>
    <row r="512" spans="1:7" ht="18" customHeight="1">
      <c r="A512" s="59" t="s">
        <v>58</v>
      </c>
      <c r="B512" s="61">
        <v>1130120260</v>
      </c>
      <c r="C512" s="1" t="s">
        <v>79</v>
      </c>
      <c r="D512" s="37" t="s">
        <v>80</v>
      </c>
      <c r="E512" s="21">
        <f>E513</f>
        <v>90.3</v>
      </c>
      <c r="F512" s="21">
        <f aca="true" t="shared" si="179" ref="F512:G512">F513</f>
        <v>90.3</v>
      </c>
      <c r="G512" s="21">
        <f t="shared" si="179"/>
        <v>90.3</v>
      </c>
    </row>
    <row r="513" spans="1:7" ht="17.25" customHeight="1">
      <c r="A513" s="59" t="s">
        <v>58</v>
      </c>
      <c r="B513" s="61">
        <v>1130120260</v>
      </c>
      <c r="C513" s="59">
        <v>350</v>
      </c>
      <c r="D513" s="60" t="s">
        <v>204</v>
      </c>
      <c r="E513" s="21">
        <f>'№4 '!F840</f>
        <v>90.3</v>
      </c>
      <c r="F513" s="21">
        <f>'№4 '!G840</f>
        <v>90.3</v>
      </c>
      <c r="G513" s="21">
        <f>'№4 '!H840</f>
        <v>90.3</v>
      </c>
    </row>
    <row r="514" spans="1:7" ht="31.5">
      <c r="A514" s="59" t="s">
        <v>58</v>
      </c>
      <c r="B514" s="59">
        <v>1130200000</v>
      </c>
      <c r="C514" s="59"/>
      <c r="D514" s="31" t="s">
        <v>239</v>
      </c>
      <c r="E514" s="21">
        <f>E515</f>
        <v>136.9</v>
      </c>
      <c r="F514" s="21">
        <f t="shared" si="176"/>
        <v>136.9</v>
      </c>
      <c r="G514" s="21">
        <f t="shared" si="176"/>
        <v>136.9</v>
      </c>
    </row>
    <row r="515" spans="1:7" ht="31.5">
      <c r="A515" s="59" t="s">
        <v>58</v>
      </c>
      <c r="B515" s="59">
        <v>1130220270</v>
      </c>
      <c r="C515" s="59"/>
      <c r="D515" s="31" t="s">
        <v>240</v>
      </c>
      <c r="E515" s="21">
        <f>E516</f>
        <v>136.9</v>
      </c>
      <c r="F515" s="21">
        <f t="shared" si="176"/>
        <v>136.9</v>
      </c>
      <c r="G515" s="21">
        <f t="shared" si="176"/>
        <v>136.9</v>
      </c>
    </row>
    <row r="516" spans="1:7" ht="31.5">
      <c r="A516" s="59" t="s">
        <v>58</v>
      </c>
      <c r="B516" s="59">
        <v>1130220270</v>
      </c>
      <c r="C516" s="59" t="s">
        <v>75</v>
      </c>
      <c r="D516" s="31" t="s">
        <v>110</v>
      </c>
      <c r="E516" s="21">
        <f>E517</f>
        <v>136.9</v>
      </c>
      <c r="F516" s="21">
        <f t="shared" si="176"/>
        <v>136.9</v>
      </c>
      <c r="G516" s="21">
        <f t="shared" si="176"/>
        <v>136.9</v>
      </c>
    </row>
    <row r="517" spans="1:7" ht="34.9" customHeight="1">
      <c r="A517" s="59" t="s">
        <v>58</v>
      </c>
      <c r="B517" s="59">
        <v>1130220270</v>
      </c>
      <c r="C517" s="59">
        <v>240</v>
      </c>
      <c r="D517" s="199" t="s">
        <v>469</v>
      </c>
      <c r="E517" s="21">
        <f>'№4 '!F844</f>
        <v>136.9</v>
      </c>
      <c r="F517" s="21">
        <f>'№4 '!G844</f>
        <v>136.9</v>
      </c>
      <c r="G517" s="21">
        <f>'№4 '!H844</f>
        <v>136.9</v>
      </c>
    </row>
    <row r="518" spans="1:7" ht="12.75">
      <c r="A518" s="59" t="s">
        <v>58</v>
      </c>
      <c r="B518" s="59">
        <v>9900000000</v>
      </c>
      <c r="C518" s="59"/>
      <c r="D518" s="31" t="s">
        <v>131</v>
      </c>
      <c r="E518" s="21">
        <f>E519</f>
        <v>6954.099999999999</v>
      </c>
      <c r="F518" s="21">
        <f aca="true" t="shared" si="180" ref="F518:G518">F519</f>
        <v>5529.9</v>
      </c>
      <c r="G518" s="21">
        <f t="shared" si="180"/>
        <v>5529.9</v>
      </c>
    </row>
    <row r="519" spans="1:7" ht="31.5">
      <c r="A519" s="59" t="s">
        <v>58</v>
      </c>
      <c r="B519" s="59">
        <v>9990000000</v>
      </c>
      <c r="C519" s="59"/>
      <c r="D519" s="31" t="s">
        <v>199</v>
      </c>
      <c r="E519" s="21">
        <f>E520+E524</f>
        <v>6954.099999999999</v>
      </c>
      <c r="F519" s="21">
        <f aca="true" t="shared" si="181" ref="F519:G519">F520+F524</f>
        <v>5529.9</v>
      </c>
      <c r="G519" s="21">
        <f t="shared" si="181"/>
        <v>5529.9</v>
      </c>
    </row>
    <row r="520" spans="1:7" ht="31.5">
      <c r="A520" s="59" t="s">
        <v>58</v>
      </c>
      <c r="B520" s="59">
        <v>9990200000</v>
      </c>
      <c r="C520" s="31"/>
      <c r="D520" s="31" t="s">
        <v>145</v>
      </c>
      <c r="E520" s="21">
        <f>E521</f>
        <v>4664.099999999999</v>
      </c>
      <c r="F520" s="21">
        <f aca="true" t="shared" si="182" ref="F520:G522">F521</f>
        <v>5529.9</v>
      </c>
      <c r="G520" s="21">
        <f t="shared" si="182"/>
        <v>5529.9</v>
      </c>
    </row>
    <row r="521" spans="1:7" ht="47.25">
      <c r="A521" s="59" t="s">
        <v>58</v>
      </c>
      <c r="B521" s="59">
        <v>9990225000</v>
      </c>
      <c r="C521" s="59"/>
      <c r="D521" s="31" t="s">
        <v>146</v>
      </c>
      <c r="E521" s="21">
        <f>E522</f>
        <v>4664.099999999999</v>
      </c>
      <c r="F521" s="21">
        <f t="shared" si="182"/>
        <v>5529.9</v>
      </c>
      <c r="G521" s="21">
        <f t="shared" si="182"/>
        <v>5529.9</v>
      </c>
    </row>
    <row r="522" spans="1:7" ht="63">
      <c r="A522" s="59" t="s">
        <v>58</v>
      </c>
      <c r="B522" s="59">
        <v>9990225000</v>
      </c>
      <c r="C522" s="59" t="s">
        <v>74</v>
      </c>
      <c r="D522" s="31" t="s">
        <v>2</v>
      </c>
      <c r="E522" s="21">
        <f>E523</f>
        <v>4664.099999999999</v>
      </c>
      <c r="F522" s="21">
        <f t="shared" si="182"/>
        <v>5529.9</v>
      </c>
      <c r="G522" s="21">
        <f t="shared" si="182"/>
        <v>5529.9</v>
      </c>
    </row>
    <row r="523" spans="1:7" ht="34.9" customHeight="1">
      <c r="A523" s="59" t="s">
        <v>58</v>
      </c>
      <c r="B523" s="59">
        <v>9990225000</v>
      </c>
      <c r="C523" s="59">
        <v>120</v>
      </c>
      <c r="D523" s="31" t="s">
        <v>471</v>
      </c>
      <c r="E523" s="21">
        <f>'№4 '!F850</f>
        <v>4664.099999999999</v>
      </c>
      <c r="F523" s="21">
        <f>'№4 '!G850</f>
        <v>5529.9</v>
      </c>
      <c r="G523" s="21">
        <f>'№4 '!H850</f>
        <v>5529.9</v>
      </c>
    </row>
    <row r="524" spans="1:7" ht="31.5">
      <c r="A524" s="59" t="s">
        <v>58</v>
      </c>
      <c r="B524" s="59">
        <v>9990300000</v>
      </c>
      <c r="C524" s="59"/>
      <c r="D524" s="31" t="s">
        <v>214</v>
      </c>
      <c r="E524" s="21">
        <f>E525+E527+E529</f>
        <v>2290</v>
      </c>
      <c r="F524" s="21">
        <f aca="true" t="shared" si="183" ref="F524:G524">F525+F527+F529</f>
        <v>0</v>
      </c>
      <c r="G524" s="21">
        <f t="shared" si="183"/>
        <v>0</v>
      </c>
    </row>
    <row r="525" spans="1:7" ht="63">
      <c r="A525" s="59" t="s">
        <v>58</v>
      </c>
      <c r="B525" s="59">
        <v>9990300000</v>
      </c>
      <c r="C525" s="59" t="s">
        <v>74</v>
      </c>
      <c r="D525" s="31" t="s">
        <v>2</v>
      </c>
      <c r="E525" s="21">
        <f>E526</f>
        <v>1649.8</v>
      </c>
      <c r="F525" s="21">
        <f aca="true" t="shared" si="184" ref="F525:G525">F526</f>
        <v>0</v>
      </c>
      <c r="G525" s="21">
        <f t="shared" si="184"/>
        <v>0</v>
      </c>
    </row>
    <row r="526" spans="1:7" ht="12.75">
      <c r="A526" s="59" t="s">
        <v>58</v>
      </c>
      <c r="B526" s="59">
        <v>9990300000</v>
      </c>
      <c r="C526" s="59">
        <v>110</v>
      </c>
      <c r="D526" s="23" t="s">
        <v>215</v>
      </c>
      <c r="E526" s="21">
        <f>'№4 '!F853</f>
        <v>1649.8</v>
      </c>
      <c r="F526" s="21">
        <f>'№4 '!G853</f>
        <v>0</v>
      </c>
      <c r="G526" s="21">
        <f>'№4 '!H853</f>
        <v>0</v>
      </c>
    </row>
    <row r="527" spans="1:7" ht="31.5">
      <c r="A527" s="59" t="s">
        <v>58</v>
      </c>
      <c r="B527" s="59">
        <v>9990300000</v>
      </c>
      <c r="C527" s="59" t="s">
        <v>75</v>
      </c>
      <c r="D527" s="31" t="s">
        <v>110</v>
      </c>
      <c r="E527" s="21">
        <f>E528</f>
        <v>616</v>
      </c>
      <c r="F527" s="21">
        <f aca="true" t="shared" si="185" ref="F527:G527">F528</f>
        <v>0</v>
      </c>
      <c r="G527" s="21">
        <f t="shared" si="185"/>
        <v>0</v>
      </c>
    </row>
    <row r="528" spans="1:7" ht="33.6" customHeight="1">
      <c r="A528" s="59" t="s">
        <v>58</v>
      </c>
      <c r="B528" s="59">
        <v>9990300000</v>
      </c>
      <c r="C528" s="59">
        <v>240</v>
      </c>
      <c r="D528" s="199" t="s">
        <v>469</v>
      </c>
      <c r="E528" s="21">
        <f>'№4 '!F855</f>
        <v>616</v>
      </c>
      <c r="F528" s="21">
        <f>'№4 '!G855</f>
        <v>0</v>
      </c>
      <c r="G528" s="21">
        <f>'№4 '!H855</f>
        <v>0</v>
      </c>
    </row>
    <row r="529" spans="1:7" ht="12.75">
      <c r="A529" s="59" t="s">
        <v>58</v>
      </c>
      <c r="B529" s="59">
        <v>9990300000</v>
      </c>
      <c r="C529" s="59" t="s">
        <v>76</v>
      </c>
      <c r="D529" s="31" t="s">
        <v>77</v>
      </c>
      <c r="E529" s="21">
        <f>E530</f>
        <v>24.200000000000003</v>
      </c>
      <c r="F529" s="21">
        <f aca="true" t="shared" si="186" ref="F529:G529">F530</f>
        <v>0</v>
      </c>
      <c r="G529" s="21">
        <f t="shared" si="186"/>
        <v>0</v>
      </c>
    </row>
    <row r="530" spans="1:7" ht="12.75">
      <c r="A530" s="59" t="s">
        <v>58</v>
      </c>
      <c r="B530" s="59">
        <v>9990300000</v>
      </c>
      <c r="C530" s="59">
        <v>850</v>
      </c>
      <c r="D530" s="31" t="s">
        <v>126</v>
      </c>
      <c r="E530" s="21">
        <f>'№4 '!F857</f>
        <v>24.200000000000003</v>
      </c>
      <c r="F530" s="21">
        <f>'№4 '!G857</f>
        <v>0</v>
      </c>
      <c r="G530" s="21">
        <f>'№4 '!H857</f>
        <v>0</v>
      </c>
    </row>
    <row r="531" spans="1:7" ht="12.75">
      <c r="A531" s="5" t="s">
        <v>46</v>
      </c>
      <c r="B531" s="5" t="s">
        <v>72</v>
      </c>
      <c r="C531" s="5" t="s">
        <v>72</v>
      </c>
      <c r="D531" s="26" t="s">
        <v>88</v>
      </c>
      <c r="E531" s="7">
        <f>E532</f>
        <v>37362.6</v>
      </c>
      <c r="F531" s="7">
        <f aca="true" t="shared" si="187" ref="F531:G531">F532</f>
        <v>29347.9</v>
      </c>
      <c r="G531" s="7">
        <f t="shared" si="187"/>
        <v>29347.9</v>
      </c>
    </row>
    <row r="532" spans="1:7" ht="12.75">
      <c r="A532" s="62" t="s">
        <v>47</v>
      </c>
      <c r="B532" s="62" t="s">
        <v>72</v>
      </c>
      <c r="C532" s="62" t="s">
        <v>72</v>
      </c>
      <c r="D532" s="15" t="s">
        <v>17</v>
      </c>
      <c r="E532" s="8">
        <f>E533+E575</f>
        <v>37362.6</v>
      </c>
      <c r="F532" s="8">
        <f aca="true" t="shared" si="188" ref="F532:G532">F533+F575</f>
        <v>29347.9</v>
      </c>
      <c r="G532" s="8">
        <f t="shared" si="188"/>
        <v>29347.9</v>
      </c>
    </row>
    <row r="533" spans="1:7" ht="47.25">
      <c r="A533" s="59" t="s">
        <v>47</v>
      </c>
      <c r="B533" s="61">
        <v>1200000000</v>
      </c>
      <c r="C533" s="59"/>
      <c r="D533" s="31" t="s">
        <v>242</v>
      </c>
      <c r="E533" s="21">
        <f>E534+E552</f>
        <v>37162.6</v>
      </c>
      <c r="F533" s="21">
        <f>F534+F552</f>
        <v>29347.9</v>
      </c>
      <c r="G533" s="21">
        <f>G534+G552</f>
        <v>29347.9</v>
      </c>
    </row>
    <row r="534" spans="1:7" ht="31.5">
      <c r="A534" s="59" t="s">
        <v>47</v>
      </c>
      <c r="B534" s="61">
        <v>1210000000</v>
      </c>
      <c r="C534" s="59"/>
      <c r="D534" s="31" t="s">
        <v>258</v>
      </c>
      <c r="E534" s="21">
        <f>E535+E545</f>
        <v>12654.400000000001</v>
      </c>
      <c r="F534" s="21">
        <f>F535+F545</f>
        <v>9867.1</v>
      </c>
      <c r="G534" s="21">
        <f>G535+G545</f>
        <v>9867.1</v>
      </c>
    </row>
    <row r="535" spans="1:7" ht="31.5">
      <c r="A535" s="59" t="s">
        <v>47</v>
      </c>
      <c r="B535" s="61">
        <v>1210100000</v>
      </c>
      <c r="C535" s="59"/>
      <c r="D535" s="31" t="s">
        <v>259</v>
      </c>
      <c r="E535" s="21">
        <f>E539+E536+E542</f>
        <v>12546.7</v>
      </c>
      <c r="F535" s="21">
        <f aca="true" t="shared" si="189" ref="F535:G535">F539+F536+F542</f>
        <v>9787.1</v>
      </c>
      <c r="G535" s="21">
        <f t="shared" si="189"/>
        <v>9787.1</v>
      </c>
    </row>
    <row r="536" spans="1:7" ht="47.25">
      <c r="A536" s="59" t="s">
        <v>47</v>
      </c>
      <c r="B536" s="61">
        <v>1210110680</v>
      </c>
      <c r="C536" s="59"/>
      <c r="D536" s="65" t="s">
        <v>324</v>
      </c>
      <c r="E536" s="28">
        <f>E537</f>
        <v>3009.9999999999995</v>
      </c>
      <c r="F536" s="28">
        <f aca="true" t="shared" si="190" ref="F536:G537">F537</f>
        <v>0</v>
      </c>
      <c r="G536" s="28">
        <f t="shared" si="190"/>
        <v>0</v>
      </c>
    </row>
    <row r="537" spans="1:7" ht="31.5">
      <c r="A537" s="59" t="s">
        <v>47</v>
      </c>
      <c r="B537" s="61">
        <v>1210110680</v>
      </c>
      <c r="C537" s="61" t="s">
        <v>112</v>
      </c>
      <c r="D537" s="60" t="s">
        <v>113</v>
      </c>
      <c r="E537" s="28">
        <f>E538</f>
        <v>3009.9999999999995</v>
      </c>
      <c r="F537" s="28">
        <f t="shared" si="190"/>
        <v>0</v>
      </c>
      <c r="G537" s="28">
        <f t="shared" si="190"/>
        <v>0</v>
      </c>
    </row>
    <row r="538" spans="1:7" ht="12.75">
      <c r="A538" s="59" t="s">
        <v>47</v>
      </c>
      <c r="B538" s="61">
        <v>1210110680</v>
      </c>
      <c r="C538" s="59">
        <v>610</v>
      </c>
      <c r="D538" s="60" t="s">
        <v>130</v>
      </c>
      <c r="E538" s="28">
        <f>'№4 '!F347</f>
        <v>3009.9999999999995</v>
      </c>
      <c r="F538" s="28">
        <f>'№4 '!G347</f>
        <v>0</v>
      </c>
      <c r="G538" s="28">
        <f>'№4 '!H347</f>
        <v>0</v>
      </c>
    </row>
    <row r="539" spans="1:7" ht="31.5">
      <c r="A539" s="59" t="s">
        <v>47</v>
      </c>
      <c r="B539" s="61">
        <v>1210120010</v>
      </c>
      <c r="C539" s="59"/>
      <c r="D539" s="31" t="s">
        <v>151</v>
      </c>
      <c r="E539" s="21">
        <f>E540</f>
        <v>9504.2</v>
      </c>
      <c r="F539" s="21">
        <f aca="true" t="shared" si="191" ref="F539:G540">F540</f>
        <v>9787.1</v>
      </c>
      <c r="G539" s="21">
        <f t="shared" si="191"/>
        <v>9787.1</v>
      </c>
    </row>
    <row r="540" spans="1:7" ht="31.5">
      <c r="A540" s="59" t="s">
        <v>47</v>
      </c>
      <c r="B540" s="61">
        <v>1210120010</v>
      </c>
      <c r="C540" s="61" t="s">
        <v>112</v>
      </c>
      <c r="D540" s="60" t="s">
        <v>113</v>
      </c>
      <c r="E540" s="21">
        <f>E541</f>
        <v>9504.2</v>
      </c>
      <c r="F540" s="21">
        <f t="shared" si="191"/>
        <v>9787.1</v>
      </c>
      <c r="G540" s="21">
        <f t="shared" si="191"/>
        <v>9787.1</v>
      </c>
    </row>
    <row r="541" spans="1:7" ht="12.75">
      <c r="A541" s="59" t="s">
        <v>47</v>
      </c>
      <c r="B541" s="61">
        <v>1210120010</v>
      </c>
      <c r="C541" s="59">
        <v>610</v>
      </c>
      <c r="D541" s="60" t="s">
        <v>130</v>
      </c>
      <c r="E541" s="21">
        <f>'№4 '!F350</f>
        <v>9504.2</v>
      </c>
      <c r="F541" s="21">
        <f>'№4 '!G350</f>
        <v>9787.1</v>
      </c>
      <c r="G541" s="21">
        <f>'№4 '!H350</f>
        <v>9787.1</v>
      </c>
    </row>
    <row r="542" spans="1:7" ht="47.25">
      <c r="A542" s="59" t="s">
        <v>47</v>
      </c>
      <c r="B542" s="61" t="s">
        <v>314</v>
      </c>
      <c r="C542" s="59"/>
      <c r="D542" s="65" t="s">
        <v>323</v>
      </c>
      <c r="E542" s="28">
        <f>E543</f>
        <v>32.5</v>
      </c>
      <c r="F542" s="28">
        <f aca="true" t="shared" si="192" ref="F542:G543">F543</f>
        <v>0</v>
      </c>
      <c r="G542" s="28">
        <f t="shared" si="192"/>
        <v>0</v>
      </c>
    </row>
    <row r="543" spans="1:7" ht="31.5">
      <c r="A543" s="59" t="s">
        <v>47</v>
      </c>
      <c r="B543" s="61" t="s">
        <v>314</v>
      </c>
      <c r="C543" s="61" t="s">
        <v>112</v>
      </c>
      <c r="D543" s="60" t="s">
        <v>113</v>
      </c>
      <c r="E543" s="28">
        <f>E544</f>
        <v>32.5</v>
      </c>
      <c r="F543" s="28">
        <f t="shared" si="192"/>
        <v>0</v>
      </c>
      <c r="G543" s="28">
        <f t="shared" si="192"/>
        <v>0</v>
      </c>
    </row>
    <row r="544" spans="1:7" ht="12.75">
      <c r="A544" s="59" t="s">
        <v>47</v>
      </c>
      <c r="B544" s="61" t="s">
        <v>314</v>
      </c>
      <c r="C544" s="59">
        <v>610</v>
      </c>
      <c r="D544" s="60" t="s">
        <v>130</v>
      </c>
      <c r="E544" s="28">
        <f>'№4 '!F353</f>
        <v>32.5</v>
      </c>
      <c r="F544" s="28">
        <f>'№4 '!G353</f>
        <v>0</v>
      </c>
      <c r="G544" s="28">
        <f>'№4 '!H353</f>
        <v>0</v>
      </c>
    </row>
    <row r="545" spans="1:7" ht="31.5">
      <c r="A545" s="59" t="s">
        <v>47</v>
      </c>
      <c r="B545" s="61">
        <v>1210300000</v>
      </c>
      <c r="C545" s="59"/>
      <c r="D545" s="31" t="s">
        <v>260</v>
      </c>
      <c r="E545" s="21">
        <f>E549+E546</f>
        <v>107.7</v>
      </c>
      <c r="F545" s="21">
        <f aca="true" t="shared" si="193" ref="F545:G545">F549+F546</f>
        <v>80</v>
      </c>
      <c r="G545" s="21">
        <f t="shared" si="193"/>
        <v>80</v>
      </c>
    </row>
    <row r="546" spans="1:7" ht="31.5">
      <c r="A546" s="92" t="s">
        <v>47</v>
      </c>
      <c r="B546" s="94">
        <v>1210320030</v>
      </c>
      <c r="C546" s="92"/>
      <c r="D546" s="93" t="s">
        <v>292</v>
      </c>
      <c r="E546" s="21">
        <f>E547</f>
        <v>32.7</v>
      </c>
      <c r="F546" s="21">
        <f aca="true" t="shared" si="194" ref="F546:G547">F547</f>
        <v>0</v>
      </c>
      <c r="G546" s="21">
        <f t="shared" si="194"/>
        <v>0</v>
      </c>
    </row>
    <row r="547" spans="1:7" ht="31.5">
      <c r="A547" s="92" t="s">
        <v>47</v>
      </c>
      <c r="B547" s="94">
        <v>1210320030</v>
      </c>
      <c r="C547" s="94" t="s">
        <v>112</v>
      </c>
      <c r="D547" s="93" t="s">
        <v>113</v>
      </c>
      <c r="E547" s="21">
        <f>E548</f>
        <v>32.7</v>
      </c>
      <c r="F547" s="21">
        <f t="shared" si="194"/>
        <v>0</v>
      </c>
      <c r="G547" s="21">
        <f t="shared" si="194"/>
        <v>0</v>
      </c>
    </row>
    <row r="548" spans="1:7" ht="12.75">
      <c r="A548" s="92" t="s">
        <v>47</v>
      </c>
      <c r="B548" s="94">
        <v>1210320030</v>
      </c>
      <c r="C548" s="92">
        <v>610</v>
      </c>
      <c r="D548" s="93" t="s">
        <v>130</v>
      </c>
      <c r="E548" s="21">
        <f>'№4 '!F357</f>
        <v>32.7</v>
      </c>
      <c r="F548" s="21">
        <f>'№4 '!G357</f>
        <v>0</v>
      </c>
      <c r="G548" s="21">
        <f>'№4 '!H357</f>
        <v>0</v>
      </c>
    </row>
    <row r="549" spans="1:7" ht="12.75">
      <c r="A549" s="59" t="s">
        <v>47</v>
      </c>
      <c r="B549" s="59" t="s">
        <v>183</v>
      </c>
      <c r="C549" s="59"/>
      <c r="D549" s="31" t="s">
        <v>352</v>
      </c>
      <c r="E549" s="21">
        <f>E550</f>
        <v>75</v>
      </c>
      <c r="F549" s="21">
        <f aca="true" t="shared" si="195" ref="F549:G550">F550</f>
        <v>80</v>
      </c>
      <c r="G549" s="21">
        <f t="shared" si="195"/>
        <v>80</v>
      </c>
    </row>
    <row r="550" spans="1:7" ht="31.5">
      <c r="A550" s="59" t="s">
        <v>47</v>
      </c>
      <c r="B550" s="59" t="s">
        <v>183</v>
      </c>
      <c r="C550" s="61" t="s">
        <v>112</v>
      </c>
      <c r="D550" s="60" t="s">
        <v>113</v>
      </c>
      <c r="E550" s="21">
        <f>E551</f>
        <v>75</v>
      </c>
      <c r="F550" s="21">
        <f t="shared" si="195"/>
        <v>80</v>
      </c>
      <c r="G550" s="21">
        <f t="shared" si="195"/>
        <v>80</v>
      </c>
    </row>
    <row r="551" spans="1:7" ht="12.75">
      <c r="A551" s="59" t="s">
        <v>47</v>
      </c>
      <c r="B551" s="59" t="s">
        <v>183</v>
      </c>
      <c r="C551" s="59">
        <v>610</v>
      </c>
      <c r="D551" s="60" t="s">
        <v>130</v>
      </c>
      <c r="E551" s="21">
        <f>'№4 '!F360</f>
        <v>75</v>
      </c>
      <c r="F551" s="21">
        <f>'№4 '!G360</f>
        <v>80</v>
      </c>
      <c r="G551" s="21">
        <f>'№4 '!H360</f>
        <v>80</v>
      </c>
    </row>
    <row r="552" spans="1:7" ht="31.5">
      <c r="A552" s="59" t="s">
        <v>47</v>
      </c>
      <c r="B552" s="61">
        <v>1220000000</v>
      </c>
      <c r="C552" s="59"/>
      <c r="D552" s="31" t="s">
        <v>184</v>
      </c>
      <c r="E552" s="21">
        <f>E553+E567+E571+E563</f>
        <v>24508.199999999997</v>
      </c>
      <c r="F552" s="21">
        <f>F553+F567+F571+F563</f>
        <v>19480.8</v>
      </c>
      <c r="G552" s="21">
        <f>G553+G567+G571+G563</f>
        <v>19480.8</v>
      </c>
    </row>
    <row r="553" spans="1:7" ht="39.6" customHeight="1">
      <c r="A553" s="59" t="s">
        <v>47</v>
      </c>
      <c r="B553" s="59">
        <v>1220100000</v>
      </c>
      <c r="C553" s="59"/>
      <c r="D553" s="31" t="s">
        <v>261</v>
      </c>
      <c r="E553" s="21">
        <f>E557+E554+E560</f>
        <v>24414.999999999996</v>
      </c>
      <c r="F553" s="21">
        <f aca="true" t="shared" si="196" ref="F553:G553">F557+F554+F560</f>
        <v>19446.5</v>
      </c>
      <c r="G553" s="21">
        <f t="shared" si="196"/>
        <v>19446.5</v>
      </c>
    </row>
    <row r="554" spans="1:7" ht="47.25">
      <c r="A554" s="59" t="s">
        <v>47</v>
      </c>
      <c r="B554" s="59">
        <v>1220110680</v>
      </c>
      <c r="C554" s="59"/>
      <c r="D554" s="65" t="s">
        <v>324</v>
      </c>
      <c r="E554" s="28">
        <f>E555</f>
        <v>4396.5</v>
      </c>
      <c r="F554" s="28">
        <f aca="true" t="shared" si="197" ref="F554:G555">F555</f>
        <v>0</v>
      </c>
      <c r="G554" s="28">
        <f t="shared" si="197"/>
        <v>0</v>
      </c>
    </row>
    <row r="555" spans="1:7" ht="31.5">
      <c r="A555" s="59" t="s">
        <v>47</v>
      </c>
      <c r="B555" s="59">
        <v>1220110680</v>
      </c>
      <c r="C555" s="61" t="s">
        <v>112</v>
      </c>
      <c r="D555" s="60" t="s">
        <v>113</v>
      </c>
      <c r="E555" s="28">
        <f>E556</f>
        <v>4396.5</v>
      </c>
      <c r="F555" s="28">
        <f t="shared" si="197"/>
        <v>0</v>
      </c>
      <c r="G555" s="28">
        <f t="shared" si="197"/>
        <v>0</v>
      </c>
    </row>
    <row r="556" spans="1:7" ht="12.75">
      <c r="A556" s="59" t="s">
        <v>47</v>
      </c>
      <c r="B556" s="59">
        <v>1220110680</v>
      </c>
      <c r="C556" s="59">
        <v>610</v>
      </c>
      <c r="D556" s="60" t="s">
        <v>130</v>
      </c>
      <c r="E556" s="28">
        <f>'№4 '!F365</f>
        <v>4396.5</v>
      </c>
      <c r="F556" s="28">
        <f>'№4 '!G365</f>
        <v>0</v>
      </c>
      <c r="G556" s="28">
        <f>'№4 '!H365</f>
        <v>0</v>
      </c>
    </row>
    <row r="557" spans="1:7" ht="31.5">
      <c r="A557" s="59" t="s">
        <v>47</v>
      </c>
      <c r="B557" s="59">
        <v>1220120010</v>
      </c>
      <c r="C557" s="59"/>
      <c r="D557" s="31" t="s">
        <v>151</v>
      </c>
      <c r="E557" s="21">
        <f>E558</f>
        <v>19976.899999999998</v>
      </c>
      <c r="F557" s="21">
        <f aca="true" t="shared" si="198" ref="F557:G558">F558</f>
        <v>19446.5</v>
      </c>
      <c r="G557" s="21">
        <f t="shared" si="198"/>
        <v>19446.5</v>
      </c>
    </row>
    <row r="558" spans="1:7" ht="31.5">
      <c r="A558" s="59" t="s">
        <v>47</v>
      </c>
      <c r="B558" s="59">
        <v>1220120010</v>
      </c>
      <c r="C558" s="61" t="s">
        <v>112</v>
      </c>
      <c r="D558" s="60" t="s">
        <v>113</v>
      </c>
      <c r="E558" s="21">
        <f>E559</f>
        <v>19976.899999999998</v>
      </c>
      <c r="F558" s="21">
        <f t="shared" si="198"/>
        <v>19446.5</v>
      </c>
      <c r="G558" s="21">
        <f t="shared" si="198"/>
        <v>19446.5</v>
      </c>
    </row>
    <row r="559" spans="1:7" ht="12.75">
      <c r="A559" s="59" t="s">
        <v>47</v>
      </c>
      <c r="B559" s="59">
        <v>1220120010</v>
      </c>
      <c r="C559" s="59">
        <v>610</v>
      </c>
      <c r="D559" s="60" t="s">
        <v>130</v>
      </c>
      <c r="E559" s="21">
        <f>'№4 '!F368</f>
        <v>19976.899999999998</v>
      </c>
      <c r="F559" s="21">
        <f>'№4 '!G368</f>
        <v>19446.5</v>
      </c>
      <c r="G559" s="21">
        <f>'№4 '!H368</f>
        <v>19446.5</v>
      </c>
    </row>
    <row r="560" spans="1:7" ht="47.25">
      <c r="A560" s="59" t="s">
        <v>47</v>
      </c>
      <c r="B560" s="59" t="s">
        <v>315</v>
      </c>
      <c r="C560" s="59"/>
      <c r="D560" s="65" t="s">
        <v>323</v>
      </c>
      <c r="E560" s="21">
        <f>E561</f>
        <v>41.599999999999994</v>
      </c>
      <c r="F560" s="21">
        <f aca="true" t="shared" si="199" ref="F560:G561">F561</f>
        <v>0</v>
      </c>
      <c r="G560" s="21">
        <f t="shared" si="199"/>
        <v>0</v>
      </c>
    </row>
    <row r="561" spans="1:7" ht="31.5">
      <c r="A561" s="59" t="s">
        <v>47</v>
      </c>
      <c r="B561" s="59" t="s">
        <v>315</v>
      </c>
      <c r="C561" s="61" t="s">
        <v>112</v>
      </c>
      <c r="D561" s="60" t="s">
        <v>113</v>
      </c>
      <c r="E561" s="21">
        <f>E562</f>
        <v>41.599999999999994</v>
      </c>
      <c r="F561" s="21">
        <f t="shared" si="199"/>
        <v>0</v>
      </c>
      <c r="G561" s="21">
        <f t="shared" si="199"/>
        <v>0</v>
      </c>
    </row>
    <row r="562" spans="1:7" ht="12.75">
      <c r="A562" s="59" t="s">
        <v>47</v>
      </c>
      <c r="B562" s="59" t="s">
        <v>315</v>
      </c>
      <c r="C562" s="59">
        <v>610</v>
      </c>
      <c r="D562" s="60" t="s">
        <v>130</v>
      </c>
      <c r="E562" s="21">
        <f>'№4 '!F371</f>
        <v>41.599999999999994</v>
      </c>
      <c r="F562" s="21">
        <f>'№4 '!G371</f>
        <v>0</v>
      </c>
      <c r="G562" s="21">
        <f>'№4 '!H371</f>
        <v>0</v>
      </c>
    </row>
    <row r="563" spans="1:7" ht="47.25">
      <c r="A563" s="68" t="s">
        <v>47</v>
      </c>
      <c r="B563" s="68">
        <v>1220300000</v>
      </c>
      <c r="C563" s="68"/>
      <c r="D563" s="69" t="s">
        <v>334</v>
      </c>
      <c r="E563" s="21">
        <f>E564</f>
        <v>36</v>
      </c>
      <c r="F563" s="21">
        <f aca="true" t="shared" si="200" ref="F563:G565">F564</f>
        <v>0</v>
      </c>
      <c r="G563" s="21">
        <f t="shared" si="200"/>
        <v>0</v>
      </c>
    </row>
    <row r="564" spans="1:7" ht="31.5">
      <c r="A564" s="68" t="s">
        <v>47</v>
      </c>
      <c r="B564" s="68" t="s">
        <v>335</v>
      </c>
      <c r="C564" s="68"/>
      <c r="D564" s="69" t="s">
        <v>353</v>
      </c>
      <c r="E564" s="21">
        <f>E565</f>
        <v>36</v>
      </c>
      <c r="F564" s="21">
        <f t="shared" si="200"/>
        <v>0</v>
      </c>
      <c r="G564" s="21">
        <f t="shared" si="200"/>
        <v>0</v>
      </c>
    </row>
    <row r="565" spans="1:7" ht="31.5">
      <c r="A565" s="68" t="s">
        <v>47</v>
      </c>
      <c r="B565" s="68" t="s">
        <v>335</v>
      </c>
      <c r="C565" s="70" t="s">
        <v>112</v>
      </c>
      <c r="D565" s="69" t="s">
        <v>113</v>
      </c>
      <c r="E565" s="21">
        <f>E566</f>
        <v>36</v>
      </c>
      <c r="F565" s="21">
        <f t="shared" si="200"/>
        <v>0</v>
      </c>
      <c r="G565" s="21">
        <f t="shared" si="200"/>
        <v>0</v>
      </c>
    </row>
    <row r="566" spans="1:7" ht="12.75">
      <c r="A566" s="68" t="s">
        <v>47</v>
      </c>
      <c r="B566" s="68" t="s">
        <v>335</v>
      </c>
      <c r="C566" s="68">
        <v>610</v>
      </c>
      <c r="D566" s="69" t="s">
        <v>130</v>
      </c>
      <c r="E566" s="21">
        <f>'№4 '!F375</f>
        <v>36</v>
      </c>
      <c r="F566" s="21">
        <f>'№4 '!G375</f>
        <v>0</v>
      </c>
      <c r="G566" s="21">
        <f>'№4 '!H375</f>
        <v>0</v>
      </c>
    </row>
    <row r="567" spans="1:7" ht="31.5">
      <c r="A567" s="59" t="s">
        <v>47</v>
      </c>
      <c r="B567" s="59">
        <v>1220400000</v>
      </c>
      <c r="C567" s="59"/>
      <c r="D567" s="31" t="s">
        <v>262</v>
      </c>
      <c r="E567" s="21">
        <f>E568</f>
        <v>24</v>
      </c>
      <c r="F567" s="21">
        <f aca="true" t="shared" si="201" ref="F567:G569">F568</f>
        <v>0</v>
      </c>
      <c r="G567" s="21">
        <f t="shared" si="201"/>
        <v>0</v>
      </c>
    </row>
    <row r="568" spans="1:7" ht="31.5">
      <c r="A568" s="59" t="s">
        <v>47</v>
      </c>
      <c r="B568" s="59">
        <v>1220420450</v>
      </c>
      <c r="C568" s="59"/>
      <c r="D568" s="31" t="s">
        <v>185</v>
      </c>
      <c r="E568" s="21">
        <f>E569</f>
        <v>24</v>
      </c>
      <c r="F568" s="21">
        <f t="shared" si="201"/>
        <v>0</v>
      </c>
      <c r="G568" s="21">
        <f t="shared" si="201"/>
        <v>0</v>
      </c>
    </row>
    <row r="569" spans="1:7" ht="31.5">
      <c r="A569" s="59" t="s">
        <v>47</v>
      </c>
      <c r="B569" s="59">
        <v>1220420450</v>
      </c>
      <c r="C569" s="61" t="s">
        <v>75</v>
      </c>
      <c r="D569" s="60" t="s">
        <v>110</v>
      </c>
      <c r="E569" s="21">
        <f>E570</f>
        <v>24</v>
      </c>
      <c r="F569" s="21">
        <f t="shared" si="201"/>
        <v>0</v>
      </c>
      <c r="G569" s="21">
        <f t="shared" si="201"/>
        <v>0</v>
      </c>
    </row>
    <row r="570" spans="1:7" ht="31.15" customHeight="1">
      <c r="A570" s="59" t="s">
        <v>47</v>
      </c>
      <c r="B570" s="59">
        <v>1220420450</v>
      </c>
      <c r="C570" s="59">
        <v>240</v>
      </c>
      <c r="D570" s="60" t="s">
        <v>469</v>
      </c>
      <c r="E570" s="21">
        <f>'№4 '!F379</f>
        <v>24</v>
      </c>
      <c r="F570" s="21">
        <f>'№4 '!G379</f>
        <v>0</v>
      </c>
      <c r="G570" s="21">
        <f>'№4 '!H379</f>
        <v>0</v>
      </c>
    </row>
    <row r="571" spans="1:7" ht="31.5">
      <c r="A571" s="59" t="s">
        <v>47</v>
      </c>
      <c r="B571" s="59">
        <v>1220500000</v>
      </c>
      <c r="C571" s="59"/>
      <c r="D571" s="31" t="s">
        <v>263</v>
      </c>
      <c r="E571" s="21">
        <f>E572</f>
        <v>33.2</v>
      </c>
      <c r="F571" s="21">
        <f aca="true" t="shared" si="202" ref="F571:G573">F572</f>
        <v>34.3</v>
      </c>
      <c r="G571" s="21">
        <f t="shared" si="202"/>
        <v>34.3</v>
      </c>
    </row>
    <row r="572" spans="1:7" ht="12.75">
      <c r="A572" s="59" t="s">
        <v>47</v>
      </c>
      <c r="B572" s="59">
        <v>1220520320</v>
      </c>
      <c r="C572" s="59"/>
      <c r="D572" s="31" t="s">
        <v>186</v>
      </c>
      <c r="E572" s="21">
        <f>E573</f>
        <v>33.2</v>
      </c>
      <c r="F572" s="21">
        <f t="shared" si="202"/>
        <v>34.3</v>
      </c>
      <c r="G572" s="21">
        <f t="shared" si="202"/>
        <v>34.3</v>
      </c>
    </row>
    <row r="573" spans="1:7" ht="31.5">
      <c r="A573" s="59" t="s">
        <v>47</v>
      </c>
      <c r="B573" s="59">
        <v>1220520320</v>
      </c>
      <c r="C573" s="61" t="s">
        <v>112</v>
      </c>
      <c r="D573" s="60" t="s">
        <v>113</v>
      </c>
      <c r="E573" s="21">
        <f>E574</f>
        <v>33.2</v>
      </c>
      <c r="F573" s="21">
        <f t="shared" si="202"/>
        <v>34.3</v>
      </c>
      <c r="G573" s="21">
        <f t="shared" si="202"/>
        <v>34.3</v>
      </c>
    </row>
    <row r="574" spans="1:7" ht="12.75">
      <c r="A574" s="59" t="s">
        <v>47</v>
      </c>
      <c r="B574" s="59">
        <v>1220520320</v>
      </c>
      <c r="C574" s="59">
        <v>610</v>
      </c>
      <c r="D574" s="113" t="s">
        <v>130</v>
      </c>
      <c r="E574" s="21">
        <f>'№4 '!F383</f>
        <v>33.2</v>
      </c>
      <c r="F574" s="21">
        <f>'№4 '!G383</f>
        <v>34.3</v>
      </c>
      <c r="G574" s="21">
        <f>'№4 '!H383</f>
        <v>34.3</v>
      </c>
    </row>
    <row r="575" spans="1:7" ht="12.75">
      <c r="A575" s="112" t="s">
        <v>47</v>
      </c>
      <c r="B575" s="112">
        <v>9900000000</v>
      </c>
      <c r="C575" s="112"/>
      <c r="D575" s="113" t="s">
        <v>131</v>
      </c>
      <c r="E575" s="21">
        <f>E576</f>
        <v>200</v>
      </c>
      <c r="F575" s="21">
        <f aca="true" t="shared" si="203" ref="F575:G578">F576</f>
        <v>0</v>
      </c>
      <c r="G575" s="21">
        <f t="shared" si="203"/>
        <v>0</v>
      </c>
    </row>
    <row r="576" spans="1:7" ht="47.25">
      <c r="A576" s="112" t="s">
        <v>47</v>
      </c>
      <c r="B576" s="112">
        <v>9920000000</v>
      </c>
      <c r="C576" s="112"/>
      <c r="D576" s="113" t="s">
        <v>383</v>
      </c>
      <c r="E576" s="21">
        <f>E577</f>
        <v>200</v>
      </c>
      <c r="F576" s="21">
        <f t="shared" si="203"/>
        <v>0</v>
      </c>
      <c r="G576" s="21">
        <f t="shared" si="203"/>
        <v>0</v>
      </c>
    </row>
    <row r="577" spans="1:7" ht="47.25">
      <c r="A577" s="112" t="s">
        <v>47</v>
      </c>
      <c r="B577" s="112">
        <v>9920010920</v>
      </c>
      <c r="C577" s="112"/>
      <c r="D577" s="113" t="s">
        <v>384</v>
      </c>
      <c r="E577" s="21">
        <f>E578</f>
        <v>200</v>
      </c>
      <c r="F577" s="21">
        <f t="shared" si="203"/>
        <v>0</v>
      </c>
      <c r="G577" s="21">
        <f t="shared" si="203"/>
        <v>0</v>
      </c>
    </row>
    <row r="578" spans="1:7" ht="31.5">
      <c r="A578" s="112" t="s">
        <v>47</v>
      </c>
      <c r="B578" s="112">
        <v>9920010920</v>
      </c>
      <c r="C578" s="114" t="s">
        <v>112</v>
      </c>
      <c r="D578" s="113" t="s">
        <v>113</v>
      </c>
      <c r="E578" s="21">
        <f>E579</f>
        <v>200</v>
      </c>
      <c r="F578" s="21">
        <f t="shared" si="203"/>
        <v>0</v>
      </c>
      <c r="G578" s="21">
        <f t="shared" si="203"/>
        <v>0</v>
      </c>
    </row>
    <row r="579" spans="1:7" ht="12.75">
      <c r="A579" s="112" t="s">
        <v>47</v>
      </c>
      <c r="B579" s="112">
        <v>9920010920</v>
      </c>
      <c r="C579" s="112">
        <v>610</v>
      </c>
      <c r="D579" s="113" t="s">
        <v>130</v>
      </c>
      <c r="E579" s="21">
        <f>'№4 '!F388</f>
        <v>200</v>
      </c>
      <c r="F579" s="21">
        <f>'№4 '!G388</f>
        <v>0</v>
      </c>
      <c r="G579" s="21">
        <f>'№4 '!H388</f>
        <v>0</v>
      </c>
    </row>
    <row r="580" spans="1:7" ht="12.75">
      <c r="A580" s="5" t="s">
        <v>44</v>
      </c>
      <c r="B580" s="5" t="s">
        <v>72</v>
      </c>
      <c r="C580" s="5" t="s">
        <v>72</v>
      </c>
      <c r="D580" s="115" t="s">
        <v>36</v>
      </c>
      <c r="E580" s="91">
        <f>E581+E590+E620</f>
        <v>39748.8</v>
      </c>
      <c r="F580" s="91">
        <f>F581+F590+F620</f>
        <v>22765.6</v>
      </c>
      <c r="G580" s="91">
        <f>G581+G590+G620</f>
        <v>23765.899999999998</v>
      </c>
    </row>
    <row r="581" spans="1:7" ht="12.75">
      <c r="A581" s="62" t="s">
        <v>59</v>
      </c>
      <c r="B581" s="62" t="s">
        <v>72</v>
      </c>
      <c r="C581" s="62" t="s">
        <v>72</v>
      </c>
      <c r="D581" s="15" t="s">
        <v>37</v>
      </c>
      <c r="E581" s="8">
        <f>E582</f>
        <v>1650</v>
      </c>
      <c r="F581" s="8">
        <f aca="true" t="shared" si="204" ref="F581:G584">F582</f>
        <v>1650</v>
      </c>
      <c r="G581" s="8">
        <f t="shared" si="204"/>
        <v>1650</v>
      </c>
    </row>
    <row r="582" spans="1:7" ht="47.25">
      <c r="A582" s="59" t="s">
        <v>59</v>
      </c>
      <c r="B582" s="61">
        <v>1200000000</v>
      </c>
      <c r="C582" s="59"/>
      <c r="D582" s="31" t="s">
        <v>242</v>
      </c>
      <c r="E582" s="21">
        <f>E583</f>
        <v>1650</v>
      </c>
      <c r="F582" s="21">
        <f t="shared" si="204"/>
        <v>1650</v>
      </c>
      <c r="G582" s="21">
        <f t="shared" si="204"/>
        <v>1650</v>
      </c>
    </row>
    <row r="583" spans="1:7" ht="31.5">
      <c r="A583" s="59" t="s">
        <v>59</v>
      </c>
      <c r="B583" s="61">
        <v>1240000000</v>
      </c>
      <c r="C583" s="59"/>
      <c r="D583" s="31" t="s">
        <v>171</v>
      </c>
      <c r="E583" s="21">
        <f>E584</f>
        <v>1650</v>
      </c>
      <c r="F583" s="21">
        <f t="shared" si="204"/>
        <v>1650</v>
      </c>
      <c r="G583" s="21">
        <f t="shared" si="204"/>
        <v>1650</v>
      </c>
    </row>
    <row r="584" spans="1:7" ht="25.15" customHeight="1">
      <c r="A584" s="59" t="s">
        <v>59</v>
      </c>
      <c r="B584" s="59">
        <v>1240400000</v>
      </c>
      <c r="C584" s="59"/>
      <c r="D584" s="31" t="s">
        <v>264</v>
      </c>
      <c r="E584" s="21">
        <f>E585</f>
        <v>1650</v>
      </c>
      <c r="F584" s="21">
        <f t="shared" si="204"/>
        <v>1650</v>
      </c>
      <c r="G584" s="21">
        <f t="shared" si="204"/>
        <v>1650</v>
      </c>
    </row>
    <row r="585" spans="1:7" ht="47.25">
      <c r="A585" s="59" t="s">
        <v>59</v>
      </c>
      <c r="B585" s="59">
        <v>1240420390</v>
      </c>
      <c r="C585" s="59"/>
      <c r="D585" s="31" t="s">
        <v>73</v>
      </c>
      <c r="E585" s="21">
        <f>E586+E588</f>
        <v>1650</v>
      </c>
      <c r="F585" s="21">
        <f aca="true" t="shared" si="205" ref="F585:G585">F586+F588</f>
        <v>1650</v>
      </c>
      <c r="G585" s="21">
        <f t="shared" si="205"/>
        <v>1650</v>
      </c>
    </row>
    <row r="586" spans="1:7" ht="31.5">
      <c r="A586" s="59" t="s">
        <v>59</v>
      </c>
      <c r="B586" s="59">
        <v>1240420390</v>
      </c>
      <c r="C586" s="61" t="s">
        <v>75</v>
      </c>
      <c r="D586" s="60" t="s">
        <v>110</v>
      </c>
      <c r="E586" s="21">
        <f>E587</f>
        <v>48.1</v>
      </c>
      <c r="F586" s="21">
        <f aca="true" t="shared" si="206" ref="F586:G586">F587</f>
        <v>48.1</v>
      </c>
      <c r="G586" s="21">
        <f t="shared" si="206"/>
        <v>48.1</v>
      </c>
    </row>
    <row r="587" spans="1:7" ht="32.45" customHeight="1">
      <c r="A587" s="59" t="s">
        <v>59</v>
      </c>
      <c r="B587" s="59">
        <v>1240420390</v>
      </c>
      <c r="C587" s="59">
        <v>240</v>
      </c>
      <c r="D587" s="199" t="s">
        <v>469</v>
      </c>
      <c r="E587" s="21">
        <f>'№4 '!F396</f>
        <v>48.1</v>
      </c>
      <c r="F587" s="21">
        <f>'№4 '!G396</f>
        <v>48.1</v>
      </c>
      <c r="G587" s="21">
        <f>'№4 '!H396</f>
        <v>48.1</v>
      </c>
    </row>
    <row r="588" spans="1:7" ht="12.75">
      <c r="A588" s="59" t="s">
        <v>59</v>
      </c>
      <c r="B588" s="59">
        <v>1240420390</v>
      </c>
      <c r="C588" s="61" t="s">
        <v>79</v>
      </c>
      <c r="D588" s="60" t="s">
        <v>80</v>
      </c>
      <c r="E588" s="21">
        <f>E589</f>
        <v>1601.9</v>
      </c>
      <c r="F588" s="21">
        <f aca="true" t="shared" si="207" ref="F588:G588">F589</f>
        <v>1601.9</v>
      </c>
      <c r="G588" s="21">
        <f t="shared" si="207"/>
        <v>1601.9</v>
      </c>
    </row>
    <row r="589" spans="1:7" ht="23.45" customHeight="1">
      <c r="A589" s="59" t="s">
        <v>59</v>
      </c>
      <c r="B589" s="59">
        <v>1240420390</v>
      </c>
      <c r="C589" s="61" t="s">
        <v>187</v>
      </c>
      <c r="D589" s="60" t="s">
        <v>188</v>
      </c>
      <c r="E589" s="21">
        <f>'№4 '!F398</f>
        <v>1601.9</v>
      </c>
      <c r="F589" s="21">
        <f>'№4 '!G398</f>
        <v>1601.9</v>
      </c>
      <c r="G589" s="21">
        <f>'№4 '!H398</f>
        <v>1601.9</v>
      </c>
    </row>
    <row r="590" spans="1:7" ht="12.75">
      <c r="A590" s="59" t="s">
        <v>45</v>
      </c>
      <c r="B590" s="59" t="s">
        <v>72</v>
      </c>
      <c r="C590" s="59" t="s">
        <v>72</v>
      </c>
      <c r="D590" s="31" t="s">
        <v>39</v>
      </c>
      <c r="E590" s="21">
        <f>E591+E610</f>
        <v>16647.7</v>
      </c>
      <c r="F590" s="21">
        <f aca="true" t="shared" si="208" ref="F590:G590">F591+F610</f>
        <v>2665.2000000000003</v>
      </c>
      <c r="G590" s="21">
        <f t="shared" si="208"/>
        <v>2665.2000000000003</v>
      </c>
    </row>
    <row r="591" spans="1:7" ht="47.25">
      <c r="A591" s="59" t="s">
        <v>45</v>
      </c>
      <c r="B591" s="61">
        <v>1200000000</v>
      </c>
      <c r="C591" s="59"/>
      <c r="D591" s="31" t="s">
        <v>242</v>
      </c>
      <c r="E591" s="21">
        <f>E592</f>
        <v>10328.4</v>
      </c>
      <c r="F591" s="21">
        <f aca="true" t="shared" si="209" ref="F591:G593">F592</f>
        <v>2665.2000000000003</v>
      </c>
      <c r="G591" s="21">
        <f t="shared" si="209"/>
        <v>2665.2000000000003</v>
      </c>
    </row>
    <row r="592" spans="1:7" ht="31.5">
      <c r="A592" s="59" t="s">
        <v>45</v>
      </c>
      <c r="B592" s="61">
        <v>1240000000</v>
      </c>
      <c r="C592" s="59"/>
      <c r="D592" s="31" t="s">
        <v>171</v>
      </c>
      <c r="E592" s="21">
        <f>E593+E597+E603</f>
        <v>10328.4</v>
      </c>
      <c r="F592" s="21">
        <f aca="true" t="shared" si="210" ref="F592:G592">F593+F597+F603</f>
        <v>2665.2000000000003</v>
      </c>
      <c r="G592" s="21">
        <f t="shared" si="210"/>
        <v>2665.2000000000003</v>
      </c>
    </row>
    <row r="593" spans="1:7" ht="31.5">
      <c r="A593" s="59" t="s">
        <v>45</v>
      </c>
      <c r="B593" s="61">
        <v>1240100000</v>
      </c>
      <c r="C593" s="59"/>
      <c r="D593" s="31" t="s">
        <v>265</v>
      </c>
      <c r="E593" s="21">
        <f>E594</f>
        <v>408</v>
      </c>
      <c r="F593" s="21">
        <f t="shared" si="209"/>
        <v>408</v>
      </c>
      <c r="G593" s="21">
        <f t="shared" si="209"/>
        <v>408</v>
      </c>
    </row>
    <row r="594" spans="1:7" ht="31.5">
      <c r="A594" s="59" t="s">
        <v>45</v>
      </c>
      <c r="B594" s="61">
        <v>1240120330</v>
      </c>
      <c r="C594" s="59"/>
      <c r="D594" s="31" t="s">
        <v>190</v>
      </c>
      <c r="E594" s="21">
        <f>E595</f>
        <v>408</v>
      </c>
      <c r="F594" s="21">
        <f aca="true" t="shared" si="211" ref="F594:G595">F595</f>
        <v>408</v>
      </c>
      <c r="G594" s="21">
        <f t="shared" si="211"/>
        <v>408</v>
      </c>
    </row>
    <row r="595" spans="1:7" ht="31.5">
      <c r="A595" s="59" t="s">
        <v>45</v>
      </c>
      <c r="B595" s="61">
        <v>1240120330</v>
      </c>
      <c r="C595" s="61" t="s">
        <v>112</v>
      </c>
      <c r="D595" s="60" t="s">
        <v>113</v>
      </c>
      <c r="E595" s="21">
        <f>E596</f>
        <v>408</v>
      </c>
      <c r="F595" s="21">
        <f t="shared" si="211"/>
        <v>408</v>
      </c>
      <c r="G595" s="21">
        <f t="shared" si="211"/>
        <v>408</v>
      </c>
    </row>
    <row r="596" spans="1:7" ht="31.5">
      <c r="A596" s="59" t="s">
        <v>45</v>
      </c>
      <c r="B596" s="61">
        <v>1240120330</v>
      </c>
      <c r="C596" s="59">
        <v>630</v>
      </c>
      <c r="D596" s="31" t="s">
        <v>191</v>
      </c>
      <c r="E596" s="21">
        <f>'№4 '!F405</f>
        <v>408</v>
      </c>
      <c r="F596" s="21">
        <f>'№4 '!G405</f>
        <v>408</v>
      </c>
      <c r="G596" s="21">
        <f>'№4 '!H405</f>
        <v>408</v>
      </c>
    </row>
    <row r="597" spans="1:7" ht="30" customHeight="1">
      <c r="A597" s="59" t="s">
        <v>45</v>
      </c>
      <c r="B597" s="61">
        <v>1240200000</v>
      </c>
      <c r="C597" s="59"/>
      <c r="D597" s="31" t="s">
        <v>192</v>
      </c>
      <c r="E597" s="21">
        <f>E598</f>
        <v>131.9</v>
      </c>
      <c r="F597" s="21">
        <f aca="true" t="shared" si="212" ref="F597:G597">F598</f>
        <v>131.9</v>
      </c>
      <c r="G597" s="21">
        <f t="shared" si="212"/>
        <v>131.9</v>
      </c>
    </row>
    <row r="598" spans="1:7" ht="31.5">
      <c r="A598" s="59" t="s">
        <v>45</v>
      </c>
      <c r="B598" s="61">
        <v>1240220350</v>
      </c>
      <c r="C598" s="59"/>
      <c r="D598" s="31" t="s">
        <v>266</v>
      </c>
      <c r="E598" s="21">
        <f>E599+E601</f>
        <v>131.9</v>
      </c>
      <c r="F598" s="21">
        <f aca="true" t="shared" si="213" ref="F598:G598">F599+F601</f>
        <v>131.9</v>
      </c>
      <c r="G598" s="21">
        <f t="shared" si="213"/>
        <v>131.9</v>
      </c>
    </row>
    <row r="599" spans="1:7" ht="31.5">
      <c r="A599" s="59" t="s">
        <v>45</v>
      </c>
      <c r="B599" s="61">
        <v>1240220350</v>
      </c>
      <c r="C599" s="61" t="s">
        <v>75</v>
      </c>
      <c r="D599" s="60" t="s">
        <v>110</v>
      </c>
      <c r="E599" s="21">
        <f>E600</f>
        <v>3.9</v>
      </c>
      <c r="F599" s="21">
        <f aca="true" t="shared" si="214" ref="F599:G599">F600</f>
        <v>3.9</v>
      </c>
      <c r="G599" s="21">
        <f t="shared" si="214"/>
        <v>3.9</v>
      </c>
    </row>
    <row r="600" spans="1:7" ht="37.9" customHeight="1">
      <c r="A600" s="59" t="s">
        <v>45</v>
      </c>
      <c r="B600" s="61">
        <v>1240220350</v>
      </c>
      <c r="C600" s="59">
        <v>240</v>
      </c>
      <c r="D600" s="199" t="s">
        <v>469</v>
      </c>
      <c r="E600" s="21">
        <f>'№4 '!F409</f>
        <v>3.9</v>
      </c>
      <c r="F600" s="21">
        <f>'№4 '!G409</f>
        <v>3.9</v>
      </c>
      <c r="G600" s="21">
        <f>'№4 '!H409</f>
        <v>3.9</v>
      </c>
    </row>
    <row r="601" spans="1:7" ht="12.75">
      <c r="A601" s="59" t="s">
        <v>45</v>
      </c>
      <c r="B601" s="61">
        <v>1240220350</v>
      </c>
      <c r="C601" s="59" t="s">
        <v>79</v>
      </c>
      <c r="D601" s="31" t="s">
        <v>80</v>
      </c>
      <c r="E601" s="21">
        <f>E602</f>
        <v>128</v>
      </c>
      <c r="F601" s="21">
        <f aca="true" t="shared" si="215" ref="F601:G601">F602</f>
        <v>128</v>
      </c>
      <c r="G601" s="21">
        <f t="shared" si="215"/>
        <v>128</v>
      </c>
    </row>
    <row r="602" spans="1:7" ht="17.25" customHeight="1">
      <c r="A602" s="59" t="s">
        <v>45</v>
      </c>
      <c r="B602" s="61">
        <v>1240220350</v>
      </c>
      <c r="C602" s="59" t="s">
        <v>187</v>
      </c>
      <c r="D602" s="31" t="s">
        <v>188</v>
      </c>
      <c r="E602" s="21">
        <f>'№4 '!F411</f>
        <v>128</v>
      </c>
      <c r="F602" s="21">
        <f>'№4 '!G411</f>
        <v>128</v>
      </c>
      <c r="G602" s="21">
        <f>'№4 '!H411</f>
        <v>128</v>
      </c>
    </row>
    <row r="603" spans="1:7" ht="16.9" customHeight="1">
      <c r="A603" s="59" t="s">
        <v>45</v>
      </c>
      <c r="B603" s="59">
        <v>1240400000</v>
      </c>
      <c r="C603" s="59"/>
      <c r="D603" s="31" t="s">
        <v>264</v>
      </c>
      <c r="E603" s="21">
        <f>E604+E607</f>
        <v>9788.5</v>
      </c>
      <c r="F603" s="21">
        <f aca="true" t="shared" si="216" ref="F603:G603">F604+F607</f>
        <v>2125.3</v>
      </c>
      <c r="G603" s="21">
        <f t="shared" si="216"/>
        <v>2125.3</v>
      </c>
    </row>
    <row r="604" spans="1:7" ht="31.5">
      <c r="A604" s="59" t="s">
        <v>45</v>
      </c>
      <c r="B604" s="59">
        <v>1240420380</v>
      </c>
      <c r="C604" s="59"/>
      <c r="D604" s="31" t="s">
        <v>189</v>
      </c>
      <c r="E604" s="21">
        <f>E605</f>
        <v>217</v>
      </c>
      <c r="F604" s="21">
        <f aca="true" t="shared" si="217" ref="F604:G605">F605</f>
        <v>217</v>
      </c>
      <c r="G604" s="21">
        <f t="shared" si="217"/>
        <v>217</v>
      </c>
    </row>
    <row r="605" spans="1:7" ht="12.75">
      <c r="A605" s="59" t="s">
        <v>45</v>
      </c>
      <c r="B605" s="59">
        <v>1240420380</v>
      </c>
      <c r="C605" s="61" t="s">
        <v>79</v>
      </c>
      <c r="D605" s="60" t="s">
        <v>80</v>
      </c>
      <c r="E605" s="21">
        <f>E606</f>
        <v>217</v>
      </c>
      <c r="F605" s="21">
        <f t="shared" si="217"/>
        <v>217</v>
      </c>
      <c r="G605" s="21">
        <f t="shared" si="217"/>
        <v>217</v>
      </c>
    </row>
    <row r="606" spans="1:7" ht="31.5">
      <c r="A606" s="59" t="s">
        <v>45</v>
      </c>
      <c r="B606" s="59">
        <v>1240420380</v>
      </c>
      <c r="C606" s="61" t="s">
        <v>127</v>
      </c>
      <c r="D606" s="60" t="s">
        <v>128</v>
      </c>
      <c r="E606" s="21">
        <f>'№4 '!F415</f>
        <v>217</v>
      </c>
      <c r="F606" s="21">
        <f>'№4 '!G415</f>
        <v>217</v>
      </c>
      <c r="G606" s="21">
        <f>'№4 '!H415</f>
        <v>217</v>
      </c>
    </row>
    <row r="607" spans="1:7" ht="12.75">
      <c r="A607" s="59" t="s">
        <v>45</v>
      </c>
      <c r="B607" s="68" t="s">
        <v>357</v>
      </c>
      <c r="C607" s="68"/>
      <c r="D607" s="69" t="s">
        <v>356</v>
      </c>
      <c r="E607" s="21">
        <f>E608</f>
        <v>9571.5</v>
      </c>
      <c r="F607" s="21">
        <f aca="true" t="shared" si="218" ref="F607:G608">F608</f>
        <v>1908.3</v>
      </c>
      <c r="G607" s="21">
        <f t="shared" si="218"/>
        <v>1908.3</v>
      </c>
    </row>
    <row r="608" spans="1:7" ht="12.75">
      <c r="A608" s="59" t="s">
        <v>45</v>
      </c>
      <c r="B608" s="68" t="s">
        <v>357</v>
      </c>
      <c r="C608" s="1" t="s">
        <v>79</v>
      </c>
      <c r="D608" s="37" t="s">
        <v>80</v>
      </c>
      <c r="E608" s="21">
        <f>E609</f>
        <v>9571.5</v>
      </c>
      <c r="F608" s="21">
        <f t="shared" si="218"/>
        <v>1908.3</v>
      </c>
      <c r="G608" s="21">
        <f t="shared" si="218"/>
        <v>1908.3</v>
      </c>
    </row>
    <row r="609" spans="1:7" ht="31.5">
      <c r="A609" s="59" t="s">
        <v>45</v>
      </c>
      <c r="B609" s="68" t="s">
        <v>357</v>
      </c>
      <c r="C609" s="1" t="s">
        <v>127</v>
      </c>
      <c r="D609" s="37" t="s">
        <v>128</v>
      </c>
      <c r="E609" s="21">
        <f>'№4 '!F418</f>
        <v>9571.5</v>
      </c>
      <c r="F609" s="21">
        <f>'№4 '!G418</f>
        <v>1908.3</v>
      </c>
      <c r="G609" s="21">
        <f>'№4 '!H418</f>
        <v>1908.3</v>
      </c>
    </row>
    <row r="610" spans="1:7" ht="12.75">
      <c r="A610" s="68" t="s">
        <v>45</v>
      </c>
      <c r="B610" s="68" t="s">
        <v>72</v>
      </c>
      <c r="C610" s="68" t="s">
        <v>72</v>
      </c>
      <c r="D610" s="69" t="s">
        <v>39</v>
      </c>
      <c r="E610" s="21">
        <f aca="true" t="shared" si="219" ref="E610:E618">E611</f>
        <v>6319.3</v>
      </c>
      <c r="F610" s="21">
        <f aca="true" t="shared" si="220" ref="F610:G618">F611</f>
        <v>0</v>
      </c>
      <c r="G610" s="21">
        <f t="shared" si="220"/>
        <v>0</v>
      </c>
    </row>
    <row r="611" spans="1:7" ht="47.25">
      <c r="A611" s="68" t="s">
        <v>45</v>
      </c>
      <c r="B611" s="70">
        <v>1600000000</v>
      </c>
      <c r="C611" s="70"/>
      <c r="D611" s="69" t="s">
        <v>140</v>
      </c>
      <c r="E611" s="21">
        <f t="shared" si="219"/>
        <v>6319.3</v>
      </c>
      <c r="F611" s="21">
        <f t="shared" si="220"/>
        <v>0</v>
      </c>
      <c r="G611" s="21">
        <f t="shared" si="220"/>
        <v>0</v>
      </c>
    </row>
    <row r="612" spans="1:7" ht="31.5">
      <c r="A612" s="68" t="s">
        <v>45</v>
      </c>
      <c r="B612" s="70">
        <v>1620000000</v>
      </c>
      <c r="C612" s="70"/>
      <c r="D612" s="69" t="s">
        <v>133</v>
      </c>
      <c r="E612" s="21">
        <f t="shared" si="219"/>
        <v>6319.3</v>
      </c>
      <c r="F612" s="21">
        <f t="shared" si="220"/>
        <v>0</v>
      </c>
      <c r="G612" s="21">
        <f t="shared" si="220"/>
        <v>0</v>
      </c>
    </row>
    <row r="613" spans="1:7" ht="12.75">
      <c r="A613" s="68" t="s">
        <v>45</v>
      </c>
      <c r="B613" s="70">
        <v>1620200000</v>
      </c>
      <c r="C613" s="70"/>
      <c r="D613" s="69" t="s">
        <v>138</v>
      </c>
      <c r="E613" s="21">
        <f>E617+E614</f>
        <v>6319.3</v>
      </c>
      <c r="F613" s="21">
        <f aca="true" t="shared" si="221" ref="F613:G613">F617+F614</f>
        <v>0</v>
      </c>
      <c r="G613" s="21">
        <f t="shared" si="221"/>
        <v>0</v>
      </c>
    </row>
    <row r="614" spans="1:7" ht="47.25">
      <c r="A614" s="112" t="s">
        <v>45</v>
      </c>
      <c r="B614" s="114">
        <v>1620210290</v>
      </c>
      <c r="C614" s="114"/>
      <c r="D614" s="113" t="s">
        <v>385</v>
      </c>
      <c r="E614" s="28">
        <f>E615</f>
        <v>4423.5</v>
      </c>
      <c r="F614" s="28">
        <f aca="true" t="shared" si="222" ref="F614:G615">F615</f>
        <v>0</v>
      </c>
      <c r="G614" s="28">
        <f t="shared" si="222"/>
        <v>0</v>
      </c>
    </row>
    <row r="615" spans="1:7" ht="31.5">
      <c r="A615" s="112" t="s">
        <v>45</v>
      </c>
      <c r="B615" s="114">
        <v>1620210290</v>
      </c>
      <c r="C615" s="114" t="s">
        <v>78</v>
      </c>
      <c r="D615" s="113" t="s">
        <v>111</v>
      </c>
      <c r="E615" s="28">
        <f>E616</f>
        <v>4423.5</v>
      </c>
      <c r="F615" s="28">
        <f t="shared" si="222"/>
        <v>0</v>
      </c>
      <c r="G615" s="28">
        <f t="shared" si="222"/>
        <v>0</v>
      </c>
    </row>
    <row r="616" spans="1:7" ht="12.75">
      <c r="A616" s="112" t="s">
        <v>45</v>
      </c>
      <c r="B616" s="114">
        <v>1620210290</v>
      </c>
      <c r="C616" s="114" t="s">
        <v>147</v>
      </c>
      <c r="D616" s="113" t="s">
        <v>148</v>
      </c>
      <c r="E616" s="28">
        <f>'№4 '!F584</f>
        <v>4423.5</v>
      </c>
      <c r="F616" s="28">
        <f>'№4 '!G584</f>
        <v>0</v>
      </c>
      <c r="G616" s="28">
        <f>'№4 '!H584</f>
        <v>0</v>
      </c>
    </row>
    <row r="617" spans="1:7" ht="47.25">
      <c r="A617" s="68" t="s">
        <v>45</v>
      </c>
      <c r="B617" s="70" t="s">
        <v>336</v>
      </c>
      <c r="C617" s="70"/>
      <c r="D617" s="69" t="s">
        <v>337</v>
      </c>
      <c r="E617" s="21">
        <f t="shared" si="219"/>
        <v>1895.8</v>
      </c>
      <c r="F617" s="21">
        <f t="shared" si="220"/>
        <v>0</v>
      </c>
      <c r="G617" s="21">
        <f t="shared" si="220"/>
        <v>0</v>
      </c>
    </row>
    <row r="618" spans="1:7" ht="31.5">
      <c r="A618" s="68" t="s">
        <v>45</v>
      </c>
      <c r="B618" s="70" t="s">
        <v>336</v>
      </c>
      <c r="C618" s="70" t="s">
        <v>78</v>
      </c>
      <c r="D618" s="69" t="s">
        <v>111</v>
      </c>
      <c r="E618" s="21">
        <f t="shared" si="219"/>
        <v>1895.8</v>
      </c>
      <c r="F618" s="21">
        <f t="shared" si="220"/>
        <v>0</v>
      </c>
      <c r="G618" s="21">
        <f t="shared" si="220"/>
        <v>0</v>
      </c>
    </row>
    <row r="619" spans="1:7" ht="12.75">
      <c r="A619" s="68" t="s">
        <v>45</v>
      </c>
      <c r="B619" s="70" t="s">
        <v>336</v>
      </c>
      <c r="C619" s="70" t="s">
        <v>147</v>
      </c>
      <c r="D619" s="69" t="s">
        <v>148</v>
      </c>
      <c r="E619" s="21">
        <f>'№4 '!F587</f>
        <v>1895.8</v>
      </c>
      <c r="F619" s="21">
        <f>'№4 '!G587</f>
        <v>0</v>
      </c>
      <c r="G619" s="21">
        <f>'№4 '!H587</f>
        <v>0</v>
      </c>
    </row>
    <row r="620" spans="1:7" ht="12.75">
      <c r="A620" s="62" t="s">
        <v>91</v>
      </c>
      <c r="B620" s="62" t="s">
        <v>72</v>
      </c>
      <c r="C620" s="62" t="s">
        <v>72</v>
      </c>
      <c r="D620" s="15" t="s">
        <v>92</v>
      </c>
      <c r="E620" s="8">
        <f>E621+E629</f>
        <v>21451.1</v>
      </c>
      <c r="F620" s="8">
        <f aca="true" t="shared" si="223" ref="F620:G620">F621+F629</f>
        <v>18450.399999999998</v>
      </c>
      <c r="G620" s="8">
        <f t="shared" si="223"/>
        <v>19450.699999999997</v>
      </c>
    </row>
    <row r="621" spans="1:7" ht="34.5" customHeight="1">
      <c r="A621" s="59" t="s">
        <v>91</v>
      </c>
      <c r="B621" s="61">
        <v>1100000000</v>
      </c>
      <c r="C621" s="59"/>
      <c r="D621" s="60" t="s">
        <v>247</v>
      </c>
      <c r="E621" s="21">
        <f>E622</f>
        <v>10448.599999999999</v>
      </c>
      <c r="F621" s="21">
        <f aca="true" t="shared" si="224" ref="F621:G623">F622</f>
        <v>10448.599999999999</v>
      </c>
      <c r="G621" s="21">
        <f t="shared" si="224"/>
        <v>10448.599999999999</v>
      </c>
    </row>
    <row r="622" spans="1:7" ht="12.75">
      <c r="A622" s="59" t="s">
        <v>91</v>
      </c>
      <c r="B622" s="59">
        <v>1110000000</v>
      </c>
      <c r="C622" s="59"/>
      <c r="D622" s="31" t="s">
        <v>225</v>
      </c>
      <c r="E622" s="21">
        <f>E623</f>
        <v>10448.599999999999</v>
      </c>
      <c r="F622" s="21">
        <f t="shared" si="224"/>
        <v>10448.599999999999</v>
      </c>
      <c r="G622" s="21">
        <f t="shared" si="224"/>
        <v>10448.599999999999</v>
      </c>
    </row>
    <row r="623" spans="1:7" ht="47.25">
      <c r="A623" s="59" t="s">
        <v>91</v>
      </c>
      <c r="B623" s="59">
        <v>1110200000</v>
      </c>
      <c r="C623" s="59"/>
      <c r="D623" s="31" t="s">
        <v>241</v>
      </c>
      <c r="E623" s="21">
        <f>E624</f>
        <v>10448.599999999999</v>
      </c>
      <c r="F623" s="21">
        <f t="shared" si="224"/>
        <v>10448.599999999999</v>
      </c>
      <c r="G623" s="21">
        <f t="shared" si="224"/>
        <v>10448.599999999999</v>
      </c>
    </row>
    <row r="624" spans="1:7" ht="78.75">
      <c r="A624" s="59" t="s">
        <v>91</v>
      </c>
      <c r="B624" s="59">
        <v>1110210500</v>
      </c>
      <c r="C624" s="59"/>
      <c r="D624" s="60" t="s">
        <v>319</v>
      </c>
      <c r="E624" s="21">
        <f>E625+E627</f>
        <v>10448.599999999999</v>
      </c>
      <c r="F624" s="21">
        <f aca="true" t="shared" si="225" ref="F624:G624">F625+F627</f>
        <v>10448.599999999999</v>
      </c>
      <c r="G624" s="21">
        <f t="shared" si="225"/>
        <v>10448.599999999999</v>
      </c>
    </row>
    <row r="625" spans="1:7" ht="31.5">
      <c r="A625" s="59" t="s">
        <v>91</v>
      </c>
      <c r="B625" s="59">
        <v>1110210500</v>
      </c>
      <c r="C625" s="59" t="s">
        <v>75</v>
      </c>
      <c r="D625" s="31" t="s">
        <v>110</v>
      </c>
      <c r="E625" s="21">
        <f>E626</f>
        <v>254.8</v>
      </c>
      <c r="F625" s="21">
        <f aca="true" t="shared" si="226" ref="F625:G625">F626</f>
        <v>254.8</v>
      </c>
      <c r="G625" s="21">
        <f t="shared" si="226"/>
        <v>254.8</v>
      </c>
    </row>
    <row r="626" spans="1:7" ht="33" customHeight="1">
      <c r="A626" s="59" t="s">
        <v>91</v>
      </c>
      <c r="B626" s="59">
        <v>1110210500</v>
      </c>
      <c r="C626" s="59">
        <v>240</v>
      </c>
      <c r="D626" s="199" t="s">
        <v>469</v>
      </c>
      <c r="E626" s="21">
        <f>'№4 '!F865</f>
        <v>254.8</v>
      </c>
      <c r="F626" s="21">
        <f>'№4 '!G865</f>
        <v>254.8</v>
      </c>
      <c r="G626" s="21">
        <f>'№4 '!H865</f>
        <v>254.8</v>
      </c>
    </row>
    <row r="627" spans="1:7" ht="12.75">
      <c r="A627" s="59" t="s">
        <v>91</v>
      </c>
      <c r="B627" s="59">
        <v>1110210500</v>
      </c>
      <c r="C627" s="59" t="s">
        <v>79</v>
      </c>
      <c r="D627" s="31" t="s">
        <v>80</v>
      </c>
      <c r="E627" s="21">
        <f>E628</f>
        <v>10193.8</v>
      </c>
      <c r="F627" s="21">
        <f aca="true" t="shared" si="227" ref="F627:G627">F628</f>
        <v>10193.8</v>
      </c>
      <c r="G627" s="21">
        <f t="shared" si="227"/>
        <v>10193.8</v>
      </c>
    </row>
    <row r="628" spans="1:7" ht="31.5">
      <c r="A628" s="59" t="s">
        <v>91</v>
      </c>
      <c r="B628" s="59">
        <v>1110210500</v>
      </c>
      <c r="C628" s="1" t="s">
        <v>127</v>
      </c>
      <c r="D628" s="23" t="s">
        <v>128</v>
      </c>
      <c r="E628" s="21">
        <f>'№4 '!F867</f>
        <v>10193.8</v>
      </c>
      <c r="F628" s="21">
        <f>'№4 '!G867</f>
        <v>10193.8</v>
      </c>
      <c r="G628" s="21">
        <f>'№4 '!H867</f>
        <v>10193.8</v>
      </c>
    </row>
    <row r="629" spans="1:7" ht="47.25">
      <c r="A629" s="61" t="s">
        <v>91</v>
      </c>
      <c r="B629" s="61">
        <v>1600000000</v>
      </c>
      <c r="C629" s="61"/>
      <c r="D629" s="60" t="s">
        <v>140</v>
      </c>
      <c r="E629" s="21">
        <f aca="true" t="shared" si="228" ref="E629:G636">E630</f>
        <v>11002.5</v>
      </c>
      <c r="F629" s="21">
        <f t="shared" si="228"/>
        <v>8001.8</v>
      </c>
      <c r="G629" s="21">
        <f t="shared" si="228"/>
        <v>9002.1</v>
      </c>
    </row>
    <row r="630" spans="1:7" ht="31.5">
      <c r="A630" s="61" t="s">
        <v>91</v>
      </c>
      <c r="B630" s="61">
        <v>1620000000</v>
      </c>
      <c r="C630" s="61"/>
      <c r="D630" s="60" t="s">
        <v>133</v>
      </c>
      <c r="E630" s="21">
        <f t="shared" si="228"/>
        <v>11002.5</v>
      </c>
      <c r="F630" s="21">
        <f t="shared" si="228"/>
        <v>8001.8</v>
      </c>
      <c r="G630" s="21">
        <f t="shared" si="228"/>
        <v>9002.1</v>
      </c>
    </row>
    <row r="631" spans="1:7" ht="20.45" customHeight="1">
      <c r="A631" s="61" t="s">
        <v>91</v>
      </c>
      <c r="B631" s="61">
        <v>1620200000</v>
      </c>
      <c r="C631" s="61"/>
      <c r="D631" s="60" t="s">
        <v>138</v>
      </c>
      <c r="E631" s="21">
        <f>E635+E632</f>
        <v>11002.5</v>
      </c>
      <c r="F631" s="21">
        <f aca="true" t="shared" si="229" ref="F631:G631">F635+F632</f>
        <v>8001.8</v>
      </c>
      <c r="G631" s="21">
        <f t="shared" si="229"/>
        <v>9002.1</v>
      </c>
    </row>
    <row r="632" spans="1:7" ht="63">
      <c r="A632" s="67" t="s">
        <v>91</v>
      </c>
      <c r="B632" s="67">
        <v>1620210820</v>
      </c>
      <c r="C632" s="67"/>
      <c r="D632" s="66" t="s">
        <v>330</v>
      </c>
      <c r="E632" s="28">
        <f>E633</f>
        <v>8001.8</v>
      </c>
      <c r="F632" s="28">
        <f aca="true" t="shared" si="230" ref="F632:G633">F633</f>
        <v>7001.6</v>
      </c>
      <c r="G632" s="28">
        <f t="shared" si="230"/>
        <v>7001.6</v>
      </c>
    </row>
    <row r="633" spans="1:7" ht="31.5">
      <c r="A633" s="67" t="s">
        <v>91</v>
      </c>
      <c r="B633" s="67">
        <v>1620210820</v>
      </c>
      <c r="C633" s="67" t="s">
        <v>78</v>
      </c>
      <c r="D633" s="66" t="s">
        <v>111</v>
      </c>
      <c r="E633" s="28">
        <f>E634</f>
        <v>8001.8</v>
      </c>
      <c r="F633" s="28">
        <f t="shared" si="230"/>
        <v>7001.6</v>
      </c>
      <c r="G633" s="28">
        <f t="shared" si="230"/>
        <v>7001.6</v>
      </c>
    </row>
    <row r="634" spans="1:7" ht="12.75">
      <c r="A634" s="67" t="s">
        <v>91</v>
      </c>
      <c r="B634" s="67">
        <v>1620210820</v>
      </c>
      <c r="C634" s="67" t="s">
        <v>147</v>
      </c>
      <c r="D634" s="66" t="s">
        <v>148</v>
      </c>
      <c r="E634" s="28">
        <f>'№4 '!F594</f>
        <v>8001.8</v>
      </c>
      <c r="F634" s="28">
        <f>'№4 '!G594</f>
        <v>7001.6</v>
      </c>
      <c r="G634" s="28">
        <f>'№4 '!H594</f>
        <v>7001.6</v>
      </c>
    </row>
    <row r="635" spans="1:7" ht="51.6" customHeight="1">
      <c r="A635" s="61" t="s">
        <v>91</v>
      </c>
      <c r="B635" s="61" t="s">
        <v>141</v>
      </c>
      <c r="C635" s="61"/>
      <c r="D635" s="66" t="s">
        <v>327</v>
      </c>
      <c r="E635" s="21">
        <f t="shared" si="228"/>
        <v>3000.7</v>
      </c>
      <c r="F635" s="21">
        <f t="shared" si="228"/>
        <v>1000.1999999999998</v>
      </c>
      <c r="G635" s="21">
        <f t="shared" si="228"/>
        <v>2000.5</v>
      </c>
    </row>
    <row r="636" spans="1:7" ht="31.5">
      <c r="A636" s="61" t="s">
        <v>91</v>
      </c>
      <c r="B636" s="67" t="s">
        <v>141</v>
      </c>
      <c r="C636" s="61" t="s">
        <v>78</v>
      </c>
      <c r="D636" s="60" t="s">
        <v>111</v>
      </c>
      <c r="E636" s="21">
        <f t="shared" si="228"/>
        <v>3000.7</v>
      </c>
      <c r="F636" s="21">
        <f t="shared" si="228"/>
        <v>1000.1999999999998</v>
      </c>
      <c r="G636" s="21">
        <f t="shared" si="228"/>
        <v>2000.5</v>
      </c>
    </row>
    <row r="637" spans="1:7" ht="12.75">
      <c r="A637" s="61" t="s">
        <v>91</v>
      </c>
      <c r="B637" s="61" t="s">
        <v>141</v>
      </c>
      <c r="C637" s="61" t="s">
        <v>147</v>
      </c>
      <c r="D637" s="60" t="s">
        <v>148</v>
      </c>
      <c r="E637" s="21">
        <f>'№4 '!F597</f>
        <v>3000.7</v>
      </c>
      <c r="F637" s="21">
        <f>'№4 '!G597</f>
        <v>1000.1999999999998</v>
      </c>
      <c r="G637" s="21">
        <f>'№4 '!H597</f>
        <v>2000.5</v>
      </c>
    </row>
    <row r="638" spans="1:7" ht="12.75">
      <c r="A638" s="5" t="s">
        <v>67</v>
      </c>
      <c r="B638" s="5" t="s">
        <v>72</v>
      </c>
      <c r="C638" s="5" t="s">
        <v>72</v>
      </c>
      <c r="D638" s="26" t="s">
        <v>35</v>
      </c>
      <c r="E638" s="7">
        <f>E639+E684</f>
        <v>13812.499999999998</v>
      </c>
      <c r="F638" s="7">
        <f aca="true" t="shared" si="231" ref="F638:G640">F639</f>
        <v>11745.399999999998</v>
      </c>
      <c r="G638" s="7">
        <f t="shared" si="231"/>
        <v>11745.399999999998</v>
      </c>
    </row>
    <row r="639" spans="1:7" ht="12.75">
      <c r="A639" s="59" t="s">
        <v>93</v>
      </c>
      <c r="B639" s="59" t="s">
        <v>72</v>
      </c>
      <c r="C639" s="59" t="s">
        <v>72</v>
      </c>
      <c r="D639" s="31" t="s">
        <v>68</v>
      </c>
      <c r="E639" s="21">
        <f>E640</f>
        <v>13022.699999999999</v>
      </c>
      <c r="F639" s="21">
        <f t="shared" si="231"/>
        <v>11745.399999999998</v>
      </c>
      <c r="G639" s="21">
        <f t="shared" si="231"/>
        <v>11745.399999999998</v>
      </c>
    </row>
    <row r="640" spans="1:7" ht="47.25">
      <c r="A640" s="59" t="s">
        <v>93</v>
      </c>
      <c r="B640" s="61">
        <v>1200000000</v>
      </c>
      <c r="C640" s="59"/>
      <c r="D640" s="31" t="s">
        <v>242</v>
      </c>
      <c r="E640" s="21">
        <f>E641</f>
        <v>13022.699999999999</v>
      </c>
      <c r="F640" s="21">
        <f t="shared" si="231"/>
        <v>11745.399999999998</v>
      </c>
      <c r="G640" s="21">
        <f t="shared" si="231"/>
        <v>11745.399999999998</v>
      </c>
    </row>
    <row r="641" spans="1:7" ht="12.75">
      <c r="A641" s="59" t="s">
        <v>93</v>
      </c>
      <c r="B641" s="59">
        <v>1230000000</v>
      </c>
      <c r="C641" s="59"/>
      <c r="D641" s="31" t="s">
        <v>268</v>
      </c>
      <c r="E641" s="21">
        <f>E642+E652+E666+E656</f>
        <v>13022.699999999999</v>
      </c>
      <c r="F641" s="21">
        <f>F642+F652+F666+F656</f>
        <v>11745.399999999998</v>
      </c>
      <c r="G641" s="21">
        <f>G642+G652+G666+G656</f>
        <v>11745.399999999998</v>
      </c>
    </row>
    <row r="642" spans="1:7" ht="37.9" customHeight="1">
      <c r="A642" s="59" t="s">
        <v>93</v>
      </c>
      <c r="B642" s="59">
        <v>1230100000</v>
      </c>
      <c r="C642" s="59"/>
      <c r="D642" s="31" t="s">
        <v>269</v>
      </c>
      <c r="E642" s="21">
        <f>E646+E643+E649</f>
        <v>10825.599999999999</v>
      </c>
      <c r="F642" s="21">
        <f aca="true" t="shared" si="232" ref="F642:G642">F646+F643+F649</f>
        <v>10288.3</v>
      </c>
      <c r="G642" s="21">
        <f t="shared" si="232"/>
        <v>10288.3</v>
      </c>
    </row>
    <row r="643" spans="1:7" ht="47.25">
      <c r="A643" s="3" t="s">
        <v>93</v>
      </c>
      <c r="B643" s="84">
        <v>1230110200</v>
      </c>
      <c r="C643" s="84"/>
      <c r="D643" s="9" t="s">
        <v>366</v>
      </c>
      <c r="E643" s="21">
        <f>E644</f>
        <v>325.4</v>
      </c>
      <c r="F643" s="21">
        <f aca="true" t="shared" si="233" ref="F643:G644">F644</f>
        <v>0</v>
      </c>
      <c r="G643" s="21">
        <f t="shared" si="233"/>
        <v>0</v>
      </c>
    </row>
    <row r="644" spans="1:7" ht="31.5">
      <c r="A644" s="3" t="s">
        <v>93</v>
      </c>
      <c r="B644" s="84">
        <v>1230110200</v>
      </c>
      <c r="C644" s="86" t="s">
        <v>112</v>
      </c>
      <c r="D644" s="85" t="s">
        <v>113</v>
      </c>
      <c r="E644" s="21">
        <f>E645</f>
        <v>325.4</v>
      </c>
      <c r="F644" s="21">
        <f t="shared" si="233"/>
        <v>0</v>
      </c>
      <c r="G644" s="21">
        <f t="shared" si="233"/>
        <v>0</v>
      </c>
    </row>
    <row r="645" spans="1:7" ht="12.75">
      <c r="A645" s="84" t="s">
        <v>93</v>
      </c>
      <c r="B645" s="84">
        <v>1230110200</v>
      </c>
      <c r="C645" s="84">
        <v>610</v>
      </c>
      <c r="D645" s="85" t="s">
        <v>130</v>
      </c>
      <c r="E645" s="21">
        <f>'№4 '!F426</f>
        <v>325.4</v>
      </c>
      <c r="F645" s="21">
        <f>'№4 '!G426</f>
        <v>0</v>
      </c>
      <c r="G645" s="21">
        <f>'№4 '!H426</f>
        <v>0</v>
      </c>
    </row>
    <row r="646" spans="1:7" ht="31.5">
      <c r="A646" s="3" t="s">
        <v>93</v>
      </c>
      <c r="B646" s="59">
        <v>1230120010</v>
      </c>
      <c r="C646" s="59"/>
      <c r="D646" s="31" t="s">
        <v>151</v>
      </c>
      <c r="E646" s="21">
        <f>E647</f>
        <v>10467.699999999999</v>
      </c>
      <c r="F646" s="21">
        <f aca="true" t="shared" si="234" ref="F646:G647">F647</f>
        <v>10288.3</v>
      </c>
      <c r="G646" s="21">
        <f t="shared" si="234"/>
        <v>10288.3</v>
      </c>
    </row>
    <row r="647" spans="1:7" ht="31.5">
      <c r="A647" s="3" t="s">
        <v>93</v>
      </c>
      <c r="B647" s="59">
        <v>1230120010</v>
      </c>
      <c r="C647" s="61" t="s">
        <v>112</v>
      </c>
      <c r="D647" s="60" t="s">
        <v>113</v>
      </c>
      <c r="E647" s="21">
        <f>E648</f>
        <v>10467.699999999999</v>
      </c>
      <c r="F647" s="21">
        <f t="shared" si="234"/>
        <v>10288.3</v>
      </c>
      <c r="G647" s="21">
        <f t="shared" si="234"/>
        <v>10288.3</v>
      </c>
    </row>
    <row r="648" spans="1:7" ht="12.75">
      <c r="A648" s="59" t="s">
        <v>93</v>
      </c>
      <c r="B648" s="59">
        <v>1230120010</v>
      </c>
      <c r="C648" s="59">
        <v>610</v>
      </c>
      <c r="D648" s="60" t="s">
        <v>130</v>
      </c>
      <c r="E648" s="21">
        <f>'№4 '!F646+'№4 '!F429</f>
        <v>10467.699999999999</v>
      </c>
      <c r="F648" s="21">
        <f>'№4 '!G646+'№4 '!G429</f>
        <v>10288.3</v>
      </c>
      <c r="G648" s="21">
        <f>'№4 '!H646+'№4 '!H429</f>
        <v>10288.3</v>
      </c>
    </row>
    <row r="649" spans="1:7" ht="47.25">
      <c r="A649" s="3" t="s">
        <v>93</v>
      </c>
      <c r="B649" s="87" t="s">
        <v>372</v>
      </c>
      <c r="C649" s="87"/>
      <c r="D649" s="9" t="s">
        <v>371</v>
      </c>
      <c r="E649" s="21">
        <f>E650</f>
        <v>32.5</v>
      </c>
      <c r="F649" s="21">
        <f aca="true" t="shared" si="235" ref="F649:G650">F650</f>
        <v>0</v>
      </c>
      <c r="G649" s="21">
        <f t="shared" si="235"/>
        <v>0</v>
      </c>
    </row>
    <row r="650" spans="1:7" ht="31.5">
      <c r="A650" s="3" t="s">
        <v>93</v>
      </c>
      <c r="B650" s="87" t="s">
        <v>372</v>
      </c>
      <c r="C650" s="89" t="s">
        <v>112</v>
      </c>
      <c r="D650" s="88" t="s">
        <v>113</v>
      </c>
      <c r="E650" s="21">
        <f>E651</f>
        <v>32.5</v>
      </c>
      <c r="F650" s="21">
        <f t="shared" si="235"/>
        <v>0</v>
      </c>
      <c r="G650" s="21">
        <f t="shared" si="235"/>
        <v>0</v>
      </c>
    </row>
    <row r="651" spans="1:7" ht="12.75">
      <c r="A651" s="87" t="s">
        <v>93</v>
      </c>
      <c r="B651" s="87" t="s">
        <v>372</v>
      </c>
      <c r="C651" s="87">
        <v>610</v>
      </c>
      <c r="D651" s="88" t="s">
        <v>130</v>
      </c>
      <c r="E651" s="21">
        <f>'№4 '!F432</f>
        <v>32.5</v>
      </c>
      <c r="F651" s="21">
        <f>'№4 '!G432</f>
        <v>0</v>
      </c>
      <c r="G651" s="21">
        <f>'№4 '!H432</f>
        <v>0</v>
      </c>
    </row>
    <row r="652" spans="1:7" ht="63">
      <c r="A652" s="59" t="s">
        <v>93</v>
      </c>
      <c r="B652" s="59">
        <v>1230200000</v>
      </c>
      <c r="C652" s="59"/>
      <c r="D652" s="31" t="s">
        <v>270</v>
      </c>
      <c r="E652" s="21">
        <f>E653</f>
        <v>254.9</v>
      </c>
      <c r="F652" s="21">
        <f aca="true" t="shared" si="236" ref="F652:G654">F653</f>
        <v>254.9</v>
      </c>
      <c r="G652" s="21">
        <f t="shared" si="236"/>
        <v>254.9</v>
      </c>
    </row>
    <row r="653" spans="1:7" ht="12.75">
      <c r="A653" s="59" t="s">
        <v>93</v>
      </c>
      <c r="B653" s="59">
        <v>1230220040</v>
      </c>
      <c r="C653" s="59"/>
      <c r="D653" s="31" t="s">
        <v>271</v>
      </c>
      <c r="E653" s="21">
        <f>E654</f>
        <v>254.9</v>
      </c>
      <c r="F653" s="21">
        <f t="shared" si="236"/>
        <v>254.9</v>
      </c>
      <c r="G653" s="21">
        <f t="shared" si="236"/>
        <v>254.9</v>
      </c>
    </row>
    <row r="654" spans="1:7" ht="31.5">
      <c r="A654" s="59" t="s">
        <v>93</v>
      </c>
      <c r="B654" s="59">
        <v>1230220040</v>
      </c>
      <c r="C654" s="61" t="s">
        <v>112</v>
      </c>
      <c r="D654" s="60" t="s">
        <v>113</v>
      </c>
      <c r="E654" s="21">
        <f>E655</f>
        <v>254.9</v>
      </c>
      <c r="F654" s="21">
        <f t="shared" si="236"/>
        <v>254.9</v>
      </c>
      <c r="G654" s="21">
        <f t="shared" si="236"/>
        <v>254.9</v>
      </c>
    </row>
    <row r="655" spans="1:7" ht="12.75">
      <c r="A655" s="59" t="s">
        <v>93</v>
      </c>
      <c r="B655" s="59">
        <v>1230220040</v>
      </c>
      <c r="C655" s="59">
        <v>610</v>
      </c>
      <c r="D655" s="60" t="s">
        <v>130</v>
      </c>
      <c r="E655" s="21">
        <f>'№4 '!F436+'№4 '!F650</f>
        <v>254.9</v>
      </c>
      <c r="F655" s="21">
        <f>'№4 '!G436+'№4 '!G650</f>
        <v>254.9</v>
      </c>
      <c r="G655" s="21">
        <f>'№4 '!H436+'№4 '!H650</f>
        <v>254.9</v>
      </c>
    </row>
    <row r="656" spans="1:7" ht="12.75">
      <c r="A656" s="68" t="s">
        <v>93</v>
      </c>
      <c r="B656" s="68">
        <v>1230500000</v>
      </c>
      <c r="C656" s="68"/>
      <c r="D656" s="69" t="s">
        <v>331</v>
      </c>
      <c r="E656" s="21">
        <f>E663+E657+E660</f>
        <v>621.6</v>
      </c>
      <c r="F656" s="21">
        <f>F663+F657+F660</f>
        <v>0</v>
      </c>
      <c r="G656" s="21">
        <f>G663+G657+G660</f>
        <v>0</v>
      </c>
    </row>
    <row r="657" spans="1:7" ht="47.25">
      <c r="A657" s="84" t="s">
        <v>93</v>
      </c>
      <c r="B657" s="84">
        <v>1230510400</v>
      </c>
      <c r="C657" s="84"/>
      <c r="D657" s="85" t="s">
        <v>360</v>
      </c>
      <c r="E657" s="21">
        <f>E658</f>
        <v>459</v>
      </c>
      <c r="F657" s="21">
        <f aca="true" t="shared" si="237" ref="F657:G658">F658</f>
        <v>0</v>
      </c>
      <c r="G657" s="21">
        <f t="shared" si="237"/>
        <v>0</v>
      </c>
    </row>
    <row r="658" spans="1:7" ht="31.5">
      <c r="A658" s="84" t="s">
        <v>93</v>
      </c>
      <c r="B658" s="84">
        <v>1230510400</v>
      </c>
      <c r="C658" s="86" t="s">
        <v>75</v>
      </c>
      <c r="D658" s="85" t="s">
        <v>110</v>
      </c>
      <c r="E658" s="21">
        <f>E659</f>
        <v>459</v>
      </c>
      <c r="F658" s="21">
        <f t="shared" si="237"/>
        <v>0</v>
      </c>
      <c r="G658" s="21">
        <f t="shared" si="237"/>
        <v>0</v>
      </c>
    </row>
    <row r="659" spans="1:7" ht="36" customHeight="1">
      <c r="A659" s="84" t="s">
        <v>93</v>
      </c>
      <c r="B659" s="84">
        <v>1230510400</v>
      </c>
      <c r="C659" s="84">
        <v>240</v>
      </c>
      <c r="D659" s="199" t="s">
        <v>469</v>
      </c>
      <c r="E659" s="21">
        <f>'№4 '!F440</f>
        <v>459</v>
      </c>
      <c r="F659" s="21">
        <f>'№4 '!G440</f>
        <v>0</v>
      </c>
      <c r="G659" s="21">
        <f>'№4 '!H440</f>
        <v>0</v>
      </c>
    </row>
    <row r="660" spans="1:7" ht="36" customHeight="1">
      <c r="A660" s="167" t="s">
        <v>93</v>
      </c>
      <c r="B660" s="167">
        <v>1230520300</v>
      </c>
      <c r="C660" s="167"/>
      <c r="D660" s="168" t="s">
        <v>437</v>
      </c>
      <c r="E660" s="21">
        <f>E661</f>
        <v>54.6</v>
      </c>
      <c r="F660" s="21">
        <f aca="true" t="shared" si="238" ref="F660:G661">F661</f>
        <v>0</v>
      </c>
      <c r="G660" s="21">
        <f t="shared" si="238"/>
        <v>0</v>
      </c>
    </row>
    <row r="661" spans="1:7" ht="36" customHeight="1">
      <c r="A661" s="167" t="s">
        <v>93</v>
      </c>
      <c r="B661" s="167">
        <v>1230520300</v>
      </c>
      <c r="C661" s="169" t="s">
        <v>78</v>
      </c>
      <c r="D661" s="168" t="s">
        <v>111</v>
      </c>
      <c r="E661" s="21">
        <f>E662</f>
        <v>54.6</v>
      </c>
      <c r="F661" s="21">
        <f t="shared" si="238"/>
        <v>0</v>
      </c>
      <c r="G661" s="21">
        <f t="shared" si="238"/>
        <v>0</v>
      </c>
    </row>
    <row r="662" spans="1:7" ht="12.75">
      <c r="A662" s="167" t="s">
        <v>93</v>
      </c>
      <c r="B662" s="167">
        <v>1230520300</v>
      </c>
      <c r="C662" s="169" t="s">
        <v>147</v>
      </c>
      <c r="D662" s="168" t="s">
        <v>148</v>
      </c>
      <c r="E662" s="21">
        <f>'№4 '!F443</f>
        <v>54.6</v>
      </c>
      <c r="F662" s="21">
        <f>'№4 '!G443</f>
        <v>0</v>
      </c>
      <c r="G662" s="21">
        <f>'№4 '!H443</f>
        <v>0</v>
      </c>
    </row>
    <row r="663" spans="1:7" ht="47.25">
      <c r="A663" s="68" t="s">
        <v>93</v>
      </c>
      <c r="B663" s="68" t="s">
        <v>332</v>
      </c>
      <c r="C663" s="68"/>
      <c r="D663" s="69" t="s">
        <v>333</v>
      </c>
      <c r="E663" s="21">
        <f>E664</f>
        <v>108</v>
      </c>
      <c r="F663" s="21">
        <f aca="true" t="shared" si="239" ref="F663:G664">F664</f>
        <v>0</v>
      </c>
      <c r="G663" s="21">
        <f t="shared" si="239"/>
        <v>0</v>
      </c>
    </row>
    <row r="664" spans="1:7" ht="31.5">
      <c r="A664" s="68" t="s">
        <v>93</v>
      </c>
      <c r="B664" s="68" t="s">
        <v>332</v>
      </c>
      <c r="C664" s="70" t="s">
        <v>75</v>
      </c>
      <c r="D664" s="69" t="s">
        <v>110</v>
      </c>
      <c r="E664" s="21">
        <f>E665</f>
        <v>108</v>
      </c>
      <c r="F664" s="21">
        <f t="shared" si="239"/>
        <v>0</v>
      </c>
      <c r="G664" s="21">
        <f t="shared" si="239"/>
        <v>0</v>
      </c>
    </row>
    <row r="665" spans="1:7" ht="31.5">
      <c r="A665" s="68" t="s">
        <v>93</v>
      </c>
      <c r="B665" s="68" t="s">
        <v>332</v>
      </c>
      <c r="C665" s="68">
        <v>240</v>
      </c>
      <c r="D665" s="199" t="s">
        <v>469</v>
      </c>
      <c r="E665" s="21">
        <f>'№4 '!F446</f>
        <v>108</v>
      </c>
      <c r="F665" s="21">
        <f>'№4 '!G446</f>
        <v>0</v>
      </c>
      <c r="G665" s="21">
        <f>'№4 '!H446</f>
        <v>0</v>
      </c>
    </row>
    <row r="666" spans="1:7" ht="31.5">
      <c r="A666" s="59" t="s">
        <v>93</v>
      </c>
      <c r="B666" s="59">
        <v>1230600000</v>
      </c>
      <c r="C666" s="59"/>
      <c r="D666" s="31" t="s">
        <v>272</v>
      </c>
      <c r="E666" s="21">
        <f>E667+E674+E677</f>
        <v>1320.6</v>
      </c>
      <c r="F666" s="21">
        <f>F667+F674+F677</f>
        <v>1202.1999999999998</v>
      </c>
      <c r="G666" s="21">
        <f>G667+G674+G677</f>
        <v>1202.1999999999998</v>
      </c>
    </row>
    <row r="667" spans="1:7" ht="31.5">
      <c r="A667" s="59" t="s">
        <v>93</v>
      </c>
      <c r="B667" s="59">
        <v>1230620300</v>
      </c>
      <c r="C667" s="59"/>
      <c r="D667" s="31" t="s">
        <v>273</v>
      </c>
      <c r="E667" s="21">
        <f>E668+E670+E672</f>
        <v>439</v>
      </c>
      <c r="F667" s="21">
        <f aca="true" t="shared" si="240" ref="F667:G667">F668+F670+F672</f>
        <v>459</v>
      </c>
      <c r="G667" s="21">
        <f t="shared" si="240"/>
        <v>459</v>
      </c>
    </row>
    <row r="668" spans="1:7" ht="63">
      <c r="A668" s="59" t="s">
        <v>93</v>
      </c>
      <c r="B668" s="59">
        <v>1230620300</v>
      </c>
      <c r="C668" s="61" t="s">
        <v>74</v>
      </c>
      <c r="D668" s="60" t="s">
        <v>2</v>
      </c>
      <c r="E668" s="21">
        <f>E669</f>
        <v>141.3</v>
      </c>
      <c r="F668" s="21">
        <f aca="true" t="shared" si="241" ref="F668:G668">F669</f>
        <v>161.3</v>
      </c>
      <c r="G668" s="21">
        <f t="shared" si="241"/>
        <v>161.3</v>
      </c>
    </row>
    <row r="669" spans="1:7" ht="31.9" customHeight="1">
      <c r="A669" s="59" t="s">
        <v>93</v>
      </c>
      <c r="B669" s="59">
        <v>1230620300</v>
      </c>
      <c r="C669" s="59">
        <v>120</v>
      </c>
      <c r="D669" s="31" t="s">
        <v>471</v>
      </c>
      <c r="E669" s="21">
        <f>'№4 '!F654+'№4 '!F450</f>
        <v>141.3</v>
      </c>
      <c r="F669" s="21">
        <f>'№4 '!G654+'№4 '!G450</f>
        <v>161.3</v>
      </c>
      <c r="G669" s="21">
        <f>'№4 '!H654+'№4 '!H450</f>
        <v>161.3</v>
      </c>
    </row>
    <row r="670" spans="1:7" ht="31.5">
      <c r="A670" s="59" t="s">
        <v>93</v>
      </c>
      <c r="B670" s="59">
        <v>1230620300</v>
      </c>
      <c r="C670" s="61" t="s">
        <v>75</v>
      </c>
      <c r="D670" s="60" t="s">
        <v>110</v>
      </c>
      <c r="E670" s="21">
        <f>E671</f>
        <v>194.2</v>
      </c>
      <c r="F670" s="21">
        <f aca="true" t="shared" si="242" ref="F670:G670">F671</f>
        <v>194.2</v>
      </c>
      <c r="G670" s="21">
        <f t="shared" si="242"/>
        <v>194.2</v>
      </c>
    </row>
    <row r="671" spans="1:7" ht="34.15" customHeight="1">
      <c r="A671" s="59" t="s">
        <v>93</v>
      </c>
      <c r="B671" s="59">
        <v>1230620300</v>
      </c>
      <c r="C671" s="59">
        <v>240</v>
      </c>
      <c r="D671" s="199" t="s">
        <v>469</v>
      </c>
      <c r="E671" s="21">
        <f>'№4 '!F452+'№4 '!F656</f>
        <v>194.2</v>
      </c>
      <c r="F671" s="21">
        <f>'№4 '!G452+'№4 '!G656</f>
        <v>194.2</v>
      </c>
      <c r="G671" s="21">
        <f>'№4 '!H452+'№4 '!H656</f>
        <v>194.2</v>
      </c>
    </row>
    <row r="672" spans="1:7" ht="12.75">
      <c r="A672" s="84" t="s">
        <v>93</v>
      </c>
      <c r="B672" s="84">
        <v>1230620300</v>
      </c>
      <c r="C672" s="84" t="s">
        <v>76</v>
      </c>
      <c r="D672" s="85" t="s">
        <v>77</v>
      </c>
      <c r="E672" s="21">
        <f>E673</f>
        <v>103.5</v>
      </c>
      <c r="F672" s="21">
        <f aca="true" t="shared" si="243" ref="F672:G672">F673</f>
        <v>103.5</v>
      </c>
      <c r="G672" s="21">
        <f t="shared" si="243"/>
        <v>103.5</v>
      </c>
    </row>
    <row r="673" spans="1:7" ht="12.75">
      <c r="A673" s="84" t="s">
        <v>93</v>
      </c>
      <c r="B673" s="84">
        <v>1230620300</v>
      </c>
      <c r="C673" s="84">
        <v>850</v>
      </c>
      <c r="D673" s="85" t="s">
        <v>126</v>
      </c>
      <c r="E673" s="21">
        <f>'№4 '!F454</f>
        <v>103.5</v>
      </c>
      <c r="F673" s="21">
        <f>'№4 '!G454</f>
        <v>103.5</v>
      </c>
      <c r="G673" s="21">
        <f>'№4 '!H454</f>
        <v>103.5</v>
      </c>
    </row>
    <row r="674" spans="1:7" ht="31.5">
      <c r="A674" s="59" t="s">
        <v>93</v>
      </c>
      <c r="B674" s="59">
        <v>1230620310</v>
      </c>
      <c r="C674" s="59"/>
      <c r="D674" s="31" t="s">
        <v>274</v>
      </c>
      <c r="E674" s="21">
        <f>E675</f>
        <v>55.3</v>
      </c>
      <c r="F674" s="21">
        <f aca="true" t="shared" si="244" ref="F674:G675">F675</f>
        <v>55.3</v>
      </c>
      <c r="G674" s="21">
        <f t="shared" si="244"/>
        <v>55.3</v>
      </c>
    </row>
    <row r="675" spans="1:7" ht="31.5">
      <c r="A675" s="59" t="s">
        <v>93</v>
      </c>
      <c r="B675" s="59">
        <v>1230620310</v>
      </c>
      <c r="C675" s="61" t="s">
        <v>75</v>
      </c>
      <c r="D675" s="60" t="s">
        <v>110</v>
      </c>
      <c r="E675" s="21">
        <f>E676</f>
        <v>55.3</v>
      </c>
      <c r="F675" s="21">
        <f t="shared" si="244"/>
        <v>55.3</v>
      </c>
      <c r="G675" s="21">
        <f t="shared" si="244"/>
        <v>55.3</v>
      </c>
    </row>
    <row r="676" spans="1:7" ht="33" customHeight="1">
      <c r="A676" s="59" t="s">
        <v>93</v>
      </c>
      <c r="B676" s="59">
        <v>1230620310</v>
      </c>
      <c r="C676" s="59">
        <v>240</v>
      </c>
      <c r="D676" s="199" t="s">
        <v>469</v>
      </c>
      <c r="E676" s="21">
        <f>'№4 '!F457+'№4 '!F659</f>
        <v>55.3</v>
      </c>
      <c r="F676" s="21">
        <f>'№4 '!G457+'№4 '!G659</f>
        <v>55.3</v>
      </c>
      <c r="G676" s="21">
        <f>'№4 '!H457+'№4 '!H659</f>
        <v>55.3</v>
      </c>
    </row>
    <row r="677" spans="1:7" ht="12.75">
      <c r="A677" s="59" t="s">
        <v>93</v>
      </c>
      <c r="B677" s="59">
        <v>1230620320</v>
      </c>
      <c r="C677" s="59"/>
      <c r="D677" s="31" t="s">
        <v>186</v>
      </c>
      <c r="E677" s="21">
        <f>E678+E680+E682</f>
        <v>826.3</v>
      </c>
      <c r="F677" s="21">
        <f aca="true" t="shared" si="245" ref="F677:G677">F678+F680+F682</f>
        <v>687.9</v>
      </c>
      <c r="G677" s="21">
        <f t="shared" si="245"/>
        <v>687.9</v>
      </c>
    </row>
    <row r="678" spans="1:7" ht="63">
      <c r="A678" s="59" t="s">
        <v>93</v>
      </c>
      <c r="B678" s="59">
        <v>1230620320</v>
      </c>
      <c r="C678" s="61" t="s">
        <v>74</v>
      </c>
      <c r="D678" s="60" t="s">
        <v>2</v>
      </c>
      <c r="E678" s="21">
        <f>E679</f>
        <v>382.1</v>
      </c>
      <c r="F678" s="21">
        <f aca="true" t="shared" si="246" ref="F678:G678">F679</f>
        <v>408.7</v>
      </c>
      <c r="G678" s="21">
        <f t="shared" si="246"/>
        <v>408.7</v>
      </c>
    </row>
    <row r="679" spans="1:7" ht="37.15" customHeight="1">
      <c r="A679" s="59" t="s">
        <v>93</v>
      </c>
      <c r="B679" s="59">
        <v>1230620320</v>
      </c>
      <c r="C679" s="59">
        <v>120</v>
      </c>
      <c r="D679" s="31" t="s">
        <v>471</v>
      </c>
      <c r="E679" s="21">
        <f>'№4 '!F662+'№4 '!F460</f>
        <v>382.1</v>
      </c>
      <c r="F679" s="21">
        <f>'№4 '!G662+'№4 '!G460</f>
        <v>408.7</v>
      </c>
      <c r="G679" s="21">
        <f>'№4 '!H662+'№4 '!H460</f>
        <v>408.7</v>
      </c>
    </row>
    <row r="680" spans="1:7" ht="31.5">
      <c r="A680" s="59" t="s">
        <v>93</v>
      </c>
      <c r="B680" s="59">
        <v>1230620320</v>
      </c>
      <c r="C680" s="61" t="s">
        <v>75</v>
      </c>
      <c r="D680" s="60" t="s">
        <v>110</v>
      </c>
      <c r="E680" s="21">
        <f>E681</f>
        <v>240.2</v>
      </c>
      <c r="F680" s="21">
        <f aca="true" t="shared" si="247" ref="F680:G680">F681</f>
        <v>240.2</v>
      </c>
      <c r="G680" s="21">
        <f t="shared" si="247"/>
        <v>240.2</v>
      </c>
    </row>
    <row r="681" spans="1:7" ht="33" customHeight="1">
      <c r="A681" s="59" t="s">
        <v>93</v>
      </c>
      <c r="B681" s="59">
        <v>1230620320</v>
      </c>
      <c r="C681" s="59">
        <v>240</v>
      </c>
      <c r="D681" s="199" t="s">
        <v>469</v>
      </c>
      <c r="E681" s="21">
        <f>'№4 '!F462+'№4 '!F664</f>
        <v>240.2</v>
      </c>
      <c r="F681" s="21">
        <f>'№4 '!G462+'№4 '!G664</f>
        <v>240.2</v>
      </c>
      <c r="G681" s="21">
        <f>'№4 '!H462+'№4 '!H664</f>
        <v>240.2</v>
      </c>
    </row>
    <row r="682" spans="1:7" ht="31.5">
      <c r="A682" s="59" t="s">
        <v>93</v>
      </c>
      <c r="B682" s="59">
        <v>1230620320</v>
      </c>
      <c r="C682" s="61" t="s">
        <v>112</v>
      </c>
      <c r="D682" s="60" t="s">
        <v>113</v>
      </c>
      <c r="E682" s="21">
        <f>E683</f>
        <v>204</v>
      </c>
      <c r="F682" s="21">
        <f aca="true" t="shared" si="248" ref="F682:G682">F683</f>
        <v>39</v>
      </c>
      <c r="G682" s="21">
        <f t="shared" si="248"/>
        <v>39</v>
      </c>
    </row>
    <row r="683" spans="1:7" ht="12.75">
      <c r="A683" s="59" t="s">
        <v>93</v>
      </c>
      <c r="B683" s="59">
        <v>1230620320</v>
      </c>
      <c r="C683" s="59">
        <v>610</v>
      </c>
      <c r="D683" s="60" t="s">
        <v>130</v>
      </c>
      <c r="E683" s="21">
        <f>'№4 '!F666+'№4 '!F464</f>
        <v>204</v>
      </c>
      <c r="F683" s="21">
        <f>'№4 '!G666+'№4 '!G464</f>
        <v>39</v>
      </c>
      <c r="G683" s="21">
        <f>'№4 '!H666+'№4 '!H464</f>
        <v>39</v>
      </c>
    </row>
    <row r="684" spans="1:7" ht="20.45" customHeight="1">
      <c r="A684" s="59" t="s">
        <v>94</v>
      </c>
      <c r="B684" s="59" t="s">
        <v>72</v>
      </c>
      <c r="C684" s="59" t="s">
        <v>72</v>
      </c>
      <c r="D684" s="31" t="s">
        <v>0</v>
      </c>
      <c r="E684" s="21">
        <f>E685</f>
        <v>789.8</v>
      </c>
      <c r="F684" s="21">
        <f aca="true" t="shared" si="249" ref="F684:G687">F685</f>
        <v>0</v>
      </c>
      <c r="G684" s="21">
        <f t="shared" si="249"/>
        <v>0</v>
      </c>
    </row>
    <row r="685" spans="1:7" ht="12.75">
      <c r="A685" s="59" t="s">
        <v>94</v>
      </c>
      <c r="B685" s="61" t="s">
        <v>136</v>
      </c>
      <c r="C685" s="61" t="s">
        <v>72</v>
      </c>
      <c r="D685" s="60" t="s">
        <v>131</v>
      </c>
      <c r="E685" s="21">
        <f>E686</f>
        <v>789.8</v>
      </c>
      <c r="F685" s="21">
        <f t="shared" si="249"/>
        <v>0</v>
      </c>
      <c r="G685" s="21">
        <f t="shared" si="249"/>
        <v>0</v>
      </c>
    </row>
    <row r="686" spans="1:7" ht="31.5">
      <c r="A686" s="59" t="s">
        <v>94</v>
      </c>
      <c r="B686" s="59">
        <v>9990000000</v>
      </c>
      <c r="C686" s="59"/>
      <c r="D686" s="31" t="s">
        <v>199</v>
      </c>
      <c r="E686" s="21">
        <f>E687</f>
        <v>789.8</v>
      </c>
      <c r="F686" s="21">
        <f t="shared" si="249"/>
        <v>0</v>
      </c>
      <c r="G686" s="21">
        <f t="shared" si="249"/>
        <v>0</v>
      </c>
    </row>
    <row r="687" spans="1:7" ht="31.5">
      <c r="A687" s="59" t="s">
        <v>94</v>
      </c>
      <c r="B687" s="59">
        <v>9990200000</v>
      </c>
      <c r="C687" s="31"/>
      <c r="D687" s="31" t="s">
        <v>145</v>
      </c>
      <c r="E687" s="21">
        <f>E688</f>
        <v>789.8</v>
      </c>
      <c r="F687" s="21">
        <f t="shared" si="249"/>
        <v>0</v>
      </c>
      <c r="G687" s="21">
        <f t="shared" si="249"/>
        <v>0</v>
      </c>
    </row>
    <row r="688" spans="1:7" ht="47.25">
      <c r="A688" s="59" t="s">
        <v>94</v>
      </c>
      <c r="B688" s="59">
        <v>9990225000</v>
      </c>
      <c r="C688" s="59"/>
      <c r="D688" s="31" t="s">
        <v>146</v>
      </c>
      <c r="E688" s="21">
        <f>E689+E691</f>
        <v>789.8</v>
      </c>
      <c r="F688" s="21">
        <f aca="true" t="shared" si="250" ref="F688:G688">F689+F691</f>
        <v>0</v>
      </c>
      <c r="G688" s="21">
        <f t="shared" si="250"/>
        <v>0</v>
      </c>
    </row>
    <row r="689" spans="1:7" ht="63">
      <c r="A689" s="59" t="s">
        <v>94</v>
      </c>
      <c r="B689" s="59">
        <v>9990225000</v>
      </c>
      <c r="C689" s="61" t="s">
        <v>74</v>
      </c>
      <c r="D689" s="60" t="s">
        <v>2</v>
      </c>
      <c r="E689" s="21">
        <f>E690</f>
        <v>732.4</v>
      </c>
      <c r="F689" s="21">
        <f aca="true" t="shared" si="251" ref="F689:G689">F690</f>
        <v>0</v>
      </c>
      <c r="G689" s="21">
        <f t="shared" si="251"/>
        <v>0</v>
      </c>
    </row>
    <row r="690" spans="1:7" ht="35.45" customHeight="1">
      <c r="A690" s="59" t="s">
        <v>94</v>
      </c>
      <c r="B690" s="59">
        <v>9990225000</v>
      </c>
      <c r="C690" s="59">
        <v>120</v>
      </c>
      <c r="D690" s="31" t="s">
        <v>471</v>
      </c>
      <c r="E690" s="21">
        <f>'№4 '!F673</f>
        <v>732.4</v>
      </c>
      <c r="F690" s="21">
        <f>'№4 '!G673</f>
        <v>0</v>
      </c>
      <c r="G690" s="21">
        <f>'№4 '!H673</f>
        <v>0</v>
      </c>
    </row>
    <row r="691" spans="1:7" ht="31.5">
      <c r="A691" s="59" t="s">
        <v>94</v>
      </c>
      <c r="B691" s="59">
        <v>9990225000</v>
      </c>
      <c r="C691" s="61" t="s">
        <v>75</v>
      </c>
      <c r="D691" s="60" t="s">
        <v>110</v>
      </c>
      <c r="E691" s="21">
        <f>E692</f>
        <v>57.4</v>
      </c>
      <c r="F691" s="21">
        <f aca="true" t="shared" si="252" ref="F691:G691">F692</f>
        <v>0</v>
      </c>
      <c r="G691" s="21">
        <f t="shared" si="252"/>
        <v>0</v>
      </c>
    </row>
    <row r="692" spans="1:7" ht="31.9" customHeight="1">
      <c r="A692" s="59" t="s">
        <v>94</v>
      </c>
      <c r="B692" s="59">
        <v>9990225000</v>
      </c>
      <c r="C692" s="59">
        <v>240</v>
      </c>
      <c r="D692" s="199" t="s">
        <v>469</v>
      </c>
      <c r="E692" s="21">
        <f>'№4 '!F675</f>
        <v>57.4</v>
      </c>
      <c r="F692" s="21">
        <f>'№4 '!G675</f>
        <v>0</v>
      </c>
      <c r="G692" s="21">
        <f>'№4 '!H675</f>
        <v>0</v>
      </c>
    </row>
    <row r="693" spans="1:7" ht="12.75">
      <c r="A693" s="5" t="s">
        <v>104</v>
      </c>
      <c r="B693" s="5" t="s">
        <v>72</v>
      </c>
      <c r="C693" s="5" t="s">
        <v>72</v>
      </c>
      <c r="D693" s="26" t="s">
        <v>69</v>
      </c>
      <c r="E693" s="7">
        <f>E694</f>
        <v>2524.2</v>
      </c>
      <c r="F693" s="7">
        <f aca="true" t="shared" si="253" ref="F693:G696">F694</f>
        <v>2068.6</v>
      </c>
      <c r="G693" s="7">
        <f t="shared" si="253"/>
        <v>2068.6</v>
      </c>
    </row>
    <row r="694" spans="1:7" ht="12.75">
      <c r="A694" s="59" t="s">
        <v>70</v>
      </c>
      <c r="B694" s="59" t="s">
        <v>72</v>
      </c>
      <c r="C694" s="59" t="s">
        <v>72</v>
      </c>
      <c r="D694" s="31" t="s">
        <v>71</v>
      </c>
      <c r="E694" s="21">
        <f>E695</f>
        <v>2524.2</v>
      </c>
      <c r="F694" s="21">
        <f t="shared" si="253"/>
        <v>2068.6</v>
      </c>
      <c r="G694" s="21">
        <f t="shared" si="253"/>
        <v>2068.6</v>
      </c>
    </row>
    <row r="695" spans="1:7" ht="47.25">
      <c r="A695" s="59" t="s">
        <v>70</v>
      </c>
      <c r="B695" s="61">
        <v>1200000000</v>
      </c>
      <c r="C695" s="59"/>
      <c r="D695" s="31" t="s">
        <v>242</v>
      </c>
      <c r="E695" s="21">
        <f>E696</f>
        <v>2524.2</v>
      </c>
      <c r="F695" s="21">
        <f t="shared" si="253"/>
        <v>2068.6</v>
      </c>
      <c r="G695" s="21">
        <f t="shared" si="253"/>
        <v>2068.6</v>
      </c>
    </row>
    <row r="696" spans="1:7" ht="31.5">
      <c r="A696" s="59" t="s">
        <v>70</v>
      </c>
      <c r="B696" s="61">
        <v>1240000000</v>
      </c>
      <c r="C696" s="59"/>
      <c r="D696" s="31" t="s">
        <v>171</v>
      </c>
      <c r="E696" s="21">
        <f>E697</f>
        <v>2524.2</v>
      </c>
      <c r="F696" s="21">
        <f t="shared" si="253"/>
        <v>2068.6</v>
      </c>
      <c r="G696" s="21">
        <f t="shared" si="253"/>
        <v>2068.6</v>
      </c>
    </row>
    <row r="697" spans="1:7" ht="21.6" customHeight="1">
      <c r="A697" s="59" t="s">
        <v>70</v>
      </c>
      <c r="B697" s="59">
        <v>1240300000</v>
      </c>
      <c r="C697" s="59"/>
      <c r="D697" s="31" t="s">
        <v>267</v>
      </c>
      <c r="E697" s="21">
        <f>E701+E704+E707+E698</f>
        <v>2524.2</v>
      </c>
      <c r="F697" s="21">
        <f aca="true" t="shared" si="254" ref="F697:G697">F701+F704+F707+F698</f>
        <v>2068.6</v>
      </c>
      <c r="G697" s="21">
        <f t="shared" si="254"/>
        <v>2068.6</v>
      </c>
    </row>
    <row r="698" spans="1:7" ht="47.25">
      <c r="A698" s="84" t="s">
        <v>70</v>
      </c>
      <c r="B698" s="84">
        <v>1240310320</v>
      </c>
      <c r="C698" s="84"/>
      <c r="D698" s="85" t="s">
        <v>359</v>
      </c>
      <c r="E698" s="21">
        <f>E699</f>
        <v>455.6</v>
      </c>
      <c r="F698" s="21">
        <f aca="true" t="shared" si="255" ref="F698:G699">F699</f>
        <v>0</v>
      </c>
      <c r="G698" s="21">
        <f t="shared" si="255"/>
        <v>0</v>
      </c>
    </row>
    <row r="699" spans="1:7" ht="12.75">
      <c r="A699" s="84" t="s">
        <v>70</v>
      </c>
      <c r="B699" s="84">
        <v>1240310320</v>
      </c>
      <c r="C699" s="84" t="s">
        <v>76</v>
      </c>
      <c r="D699" s="85" t="s">
        <v>77</v>
      </c>
      <c r="E699" s="21">
        <f>E700</f>
        <v>455.6</v>
      </c>
      <c r="F699" s="21">
        <f t="shared" si="255"/>
        <v>0</v>
      </c>
      <c r="G699" s="21">
        <f t="shared" si="255"/>
        <v>0</v>
      </c>
    </row>
    <row r="700" spans="1:7" ht="47.25">
      <c r="A700" s="84" t="s">
        <v>70</v>
      </c>
      <c r="B700" s="84">
        <v>1240310320</v>
      </c>
      <c r="C700" s="84" t="s">
        <v>197</v>
      </c>
      <c r="D700" s="85" t="s">
        <v>198</v>
      </c>
      <c r="E700" s="21">
        <f>'№4 '!F472</f>
        <v>455.6</v>
      </c>
      <c r="F700" s="21">
        <f>'№4 '!G472</f>
        <v>0</v>
      </c>
      <c r="G700" s="21">
        <f>'№4 '!H472</f>
        <v>0</v>
      </c>
    </row>
    <row r="701" spans="1:7" ht="34.9" customHeight="1">
      <c r="A701" s="59" t="s">
        <v>70</v>
      </c>
      <c r="B701" s="59">
        <v>1240320360</v>
      </c>
      <c r="C701" s="59"/>
      <c r="D701" s="31" t="s">
        <v>193</v>
      </c>
      <c r="E701" s="21">
        <f>E702</f>
        <v>942.5</v>
      </c>
      <c r="F701" s="21">
        <f aca="true" t="shared" si="256" ref="F701:G702">F702</f>
        <v>942.5</v>
      </c>
      <c r="G701" s="21">
        <f t="shared" si="256"/>
        <v>942.5</v>
      </c>
    </row>
    <row r="702" spans="1:7" ht="12.75">
      <c r="A702" s="59" t="s">
        <v>70</v>
      </c>
      <c r="B702" s="59">
        <v>1240320360</v>
      </c>
      <c r="C702" s="59" t="s">
        <v>76</v>
      </c>
      <c r="D702" s="31" t="s">
        <v>77</v>
      </c>
      <c r="E702" s="21">
        <f>E703</f>
        <v>942.5</v>
      </c>
      <c r="F702" s="21">
        <f t="shared" si="256"/>
        <v>942.5</v>
      </c>
      <c r="G702" s="21">
        <f t="shared" si="256"/>
        <v>942.5</v>
      </c>
    </row>
    <row r="703" spans="1:7" ht="47.25">
      <c r="A703" s="59" t="s">
        <v>70</v>
      </c>
      <c r="B703" s="59">
        <v>1240320360</v>
      </c>
      <c r="C703" s="59" t="s">
        <v>197</v>
      </c>
      <c r="D703" s="31" t="s">
        <v>198</v>
      </c>
      <c r="E703" s="21">
        <f>'№4 '!F475</f>
        <v>942.5</v>
      </c>
      <c r="F703" s="21">
        <f>'№4 '!G475</f>
        <v>942.5</v>
      </c>
      <c r="G703" s="21">
        <f>'№4 '!H475</f>
        <v>942.5</v>
      </c>
    </row>
    <row r="704" spans="1:7" ht="47.25">
      <c r="A704" s="59" t="s">
        <v>70</v>
      </c>
      <c r="B704" s="59">
        <v>1240320370</v>
      </c>
      <c r="C704" s="59"/>
      <c r="D704" s="31" t="s">
        <v>194</v>
      </c>
      <c r="E704" s="21">
        <f>E705</f>
        <v>489.6</v>
      </c>
      <c r="F704" s="21">
        <f aca="true" t="shared" si="257" ref="F704:G705">F705</f>
        <v>489.6</v>
      </c>
      <c r="G704" s="21">
        <f t="shared" si="257"/>
        <v>489.6</v>
      </c>
    </row>
    <row r="705" spans="1:7" ht="12.75">
      <c r="A705" s="59" t="s">
        <v>70</v>
      </c>
      <c r="B705" s="59">
        <v>1240320370</v>
      </c>
      <c r="C705" s="59" t="s">
        <v>76</v>
      </c>
      <c r="D705" s="31" t="s">
        <v>77</v>
      </c>
      <c r="E705" s="21">
        <f>E706</f>
        <v>489.6</v>
      </c>
      <c r="F705" s="21">
        <f t="shared" si="257"/>
        <v>489.6</v>
      </c>
      <c r="G705" s="21">
        <f t="shared" si="257"/>
        <v>489.6</v>
      </c>
    </row>
    <row r="706" spans="1:7" ht="47.25">
      <c r="A706" s="59" t="s">
        <v>70</v>
      </c>
      <c r="B706" s="59">
        <v>1240320370</v>
      </c>
      <c r="C706" s="59" t="s">
        <v>197</v>
      </c>
      <c r="D706" s="31" t="s">
        <v>198</v>
      </c>
      <c r="E706" s="21">
        <f>'№4 '!F478</f>
        <v>489.6</v>
      </c>
      <c r="F706" s="21">
        <f>'№4 '!G478</f>
        <v>489.6</v>
      </c>
      <c r="G706" s="21">
        <f>'№4 '!H478</f>
        <v>489.6</v>
      </c>
    </row>
    <row r="707" spans="1:7" ht="47.25">
      <c r="A707" s="59" t="s">
        <v>70</v>
      </c>
      <c r="B707" s="59" t="s">
        <v>196</v>
      </c>
      <c r="C707" s="59"/>
      <c r="D707" s="31" t="s">
        <v>195</v>
      </c>
      <c r="E707" s="21">
        <f>E708</f>
        <v>636.5</v>
      </c>
      <c r="F707" s="21">
        <f aca="true" t="shared" si="258" ref="F707:G708">F708</f>
        <v>636.5</v>
      </c>
      <c r="G707" s="21">
        <f t="shared" si="258"/>
        <v>636.5</v>
      </c>
    </row>
    <row r="708" spans="1:7" ht="12.75">
      <c r="A708" s="59" t="s">
        <v>70</v>
      </c>
      <c r="B708" s="59" t="s">
        <v>196</v>
      </c>
      <c r="C708" s="59" t="s">
        <v>76</v>
      </c>
      <c r="D708" s="31" t="s">
        <v>77</v>
      </c>
      <c r="E708" s="21">
        <f>E709</f>
        <v>636.5</v>
      </c>
      <c r="F708" s="21">
        <f t="shared" si="258"/>
        <v>636.5</v>
      </c>
      <c r="G708" s="21">
        <f t="shared" si="258"/>
        <v>636.5</v>
      </c>
    </row>
    <row r="709" spans="1:7" ht="47.25">
      <c r="A709" s="59" t="s">
        <v>70</v>
      </c>
      <c r="B709" s="59" t="s">
        <v>196</v>
      </c>
      <c r="C709" s="59" t="s">
        <v>197</v>
      </c>
      <c r="D709" s="31" t="s">
        <v>198</v>
      </c>
      <c r="E709" s="21">
        <f>'№4 '!F481</f>
        <v>636.5</v>
      </c>
      <c r="F709" s="21">
        <f>'№4 '!G481</f>
        <v>636.5</v>
      </c>
      <c r="G709" s="21">
        <f>'№4 '!H481</f>
        <v>636.5</v>
      </c>
    </row>
    <row r="710" spans="1:7" ht="12.75">
      <c r="A710" s="5" t="s">
        <v>105</v>
      </c>
      <c r="B710" s="5" t="s">
        <v>72</v>
      </c>
      <c r="C710" s="5" t="s">
        <v>72</v>
      </c>
      <c r="D710" s="26" t="s">
        <v>117</v>
      </c>
      <c r="E710" s="7">
        <f>E711</f>
        <v>90.30000000000001</v>
      </c>
      <c r="F710" s="7">
        <f aca="true" t="shared" si="259" ref="F710:G710">F711</f>
        <v>300</v>
      </c>
      <c r="G710" s="7">
        <f t="shared" si="259"/>
        <v>300</v>
      </c>
    </row>
    <row r="711" spans="1:7" ht="31.5">
      <c r="A711" s="59" t="s">
        <v>106</v>
      </c>
      <c r="B711" s="59" t="s">
        <v>72</v>
      </c>
      <c r="C711" s="59" t="s">
        <v>72</v>
      </c>
      <c r="D711" s="31" t="s">
        <v>107</v>
      </c>
      <c r="E711" s="21">
        <f aca="true" t="shared" si="260" ref="E711:G715">E712</f>
        <v>90.30000000000001</v>
      </c>
      <c r="F711" s="21">
        <f t="shared" si="260"/>
        <v>300</v>
      </c>
      <c r="G711" s="21">
        <f t="shared" si="260"/>
        <v>300</v>
      </c>
    </row>
    <row r="712" spans="1:7" ht="12.75">
      <c r="A712" s="59" t="s">
        <v>106</v>
      </c>
      <c r="B712" s="59">
        <v>9900000000</v>
      </c>
      <c r="C712" s="59"/>
      <c r="D712" s="31" t="s">
        <v>131</v>
      </c>
      <c r="E712" s="21">
        <f t="shared" si="260"/>
        <v>90.30000000000001</v>
      </c>
      <c r="F712" s="21">
        <f t="shared" si="260"/>
        <v>300</v>
      </c>
      <c r="G712" s="21">
        <f t="shared" si="260"/>
        <v>300</v>
      </c>
    </row>
    <row r="713" spans="1:7" ht="31.5">
      <c r="A713" s="59" t="s">
        <v>106</v>
      </c>
      <c r="B713" s="59">
        <v>9930000000</v>
      </c>
      <c r="C713" s="59"/>
      <c r="D713" s="31" t="s">
        <v>212</v>
      </c>
      <c r="E713" s="21">
        <f t="shared" si="260"/>
        <v>90.30000000000001</v>
      </c>
      <c r="F713" s="21">
        <f t="shared" si="260"/>
        <v>300</v>
      </c>
      <c r="G713" s="21">
        <f t="shared" si="260"/>
        <v>300</v>
      </c>
    </row>
    <row r="714" spans="1:7" ht="12.75">
      <c r="A714" s="59" t="s">
        <v>106</v>
      </c>
      <c r="B714" s="59">
        <v>9930020500</v>
      </c>
      <c r="C714" s="59"/>
      <c r="D714" s="31" t="s">
        <v>114</v>
      </c>
      <c r="E714" s="21">
        <f t="shared" si="260"/>
        <v>90.30000000000001</v>
      </c>
      <c r="F714" s="21">
        <f t="shared" si="260"/>
        <v>300</v>
      </c>
      <c r="G714" s="21">
        <f t="shared" si="260"/>
        <v>300</v>
      </c>
    </row>
    <row r="715" spans="1:7" ht="12.75">
      <c r="A715" s="59" t="s">
        <v>106</v>
      </c>
      <c r="B715" s="59">
        <v>9930020500</v>
      </c>
      <c r="C715" s="59" t="s">
        <v>115</v>
      </c>
      <c r="D715" s="31" t="s">
        <v>116</v>
      </c>
      <c r="E715" s="21">
        <f>E716</f>
        <v>90.30000000000001</v>
      </c>
      <c r="F715" s="21">
        <f t="shared" si="260"/>
        <v>300</v>
      </c>
      <c r="G715" s="21">
        <f t="shared" si="260"/>
        <v>300</v>
      </c>
    </row>
    <row r="716" spans="1:7" ht="12.75">
      <c r="A716" s="59" t="s">
        <v>106</v>
      </c>
      <c r="B716" s="59">
        <v>9930020500</v>
      </c>
      <c r="C716" s="1" t="s">
        <v>220</v>
      </c>
      <c r="D716" s="23" t="s">
        <v>114</v>
      </c>
      <c r="E716" s="21">
        <f>'№4 '!F527</f>
        <v>90.30000000000001</v>
      </c>
      <c r="F716" s="21">
        <f>'№4 '!G527</f>
        <v>300</v>
      </c>
      <c r="G716" s="21">
        <f>'№4 '!H527</f>
        <v>300</v>
      </c>
    </row>
  </sheetData>
  <mergeCells count="9">
    <mergeCell ref="A1:G1"/>
    <mergeCell ref="A2:G2"/>
    <mergeCell ref="A3:A5"/>
    <mergeCell ref="B3:B5"/>
    <mergeCell ref="C3:C5"/>
    <mergeCell ref="D3:D5"/>
    <mergeCell ref="E3:G3"/>
    <mergeCell ref="E4:E5"/>
    <mergeCell ref="F4:G4"/>
  </mergeCells>
  <printOptions/>
  <pageMargins left="0.7874015748031497" right="0.3937007874015748" top="0.1968503937007874" bottom="0.1968503937007874" header="0.31496062992125984" footer="0.31496062992125984"/>
  <pageSetup fitToHeight="0" horizontalDpi="600" verticalDpi="600" orientation="portrait" paperSize="9" scale="70" r:id="rId1"/>
  <headerFooter>
    <oddFooter>&amp;C&amp;Ф</oddFooter>
  </headerFooter>
</worksheet>
</file>

<file path=xl/worksheets/sheet6.xml><?xml version="1.0" encoding="utf-8"?>
<worksheet xmlns="http://schemas.openxmlformats.org/spreadsheetml/2006/main" xmlns:r="http://schemas.openxmlformats.org/officeDocument/2006/relationships">
  <dimension ref="A1:F520"/>
  <sheetViews>
    <sheetView workbookViewId="0" topLeftCell="A484">
      <selection activeCell="B342" sqref="B342"/>
    </sheetView>
  </sheetViews>
  <sheetFormatPr defaultColWidth="8.875" defaultRowHeight="12.75"/>
  <cols>
    <col min="1" max="1" width="15.00390625" style="42" customWidth="1"/>
    <col min="2" max="2" width="8.75390625" style="42" customWidth="1"/>
    <col min="3" max="3" width="73.25390625" style="42" customWidth="1"/>
    <col min="4" max="4" width="12.25390625" style="50" customWidth="1"/>
    <col min="5" max="5" width="13.125" style="50" customWidth="1"/>
    <col min="6" max="6" width="12.75390625" style="50" customWidth="1"/>
    <col min="7" max="16384" width="8.875" style="42" customWidth="1"/>
  </cols>
  <sheetData>
    <row r="1" spans="1:6" ht="51.6" customHeight="1">
      <c r="A1" s="286" t="s">
        <v>725</v>
      </c>
      <c r="B1" s="286"/>
      <c r="C1" s="286"/>
      <c r="D1" s="286"/>
      <c r="E1" s="286"/>
      <c r="F1" s="286"/>
    </row>
    <row r="2" spans="1:6" ht="53.25" customHeight="1">
      <c r="A2" s="287" t="s">
        <v>301</v>
      </c>
      <c r="B2" s="287"/>
      <c r="C2" s="287"/>
      <c r="D2" s="287"/>
      <c r="E2" s="287"/>
      <c r="F2" s="287"/>
    </row>
    <row r="3" spans="1:6" ht="12.75">
      <c r="A3" s="288" t="s">
        <v>21</v>
      </c>
      <c r="B3" s="288" t="s">
        <v>22</v>
      </c>
      <c r="C3" s="288" t="s">
        <v>23</v>
      </c>
      <c r="D3" s="289" t="s">
        <v>97</v>
      </c>
      <c r="E3" s="289"/>
      <c r="F3" s="289"/>
    </row>
    <row r="4" spans="1:6" ht="12.75">
      <c r="A4" s="288" t="s">
        <v>72</v>
      </c>
      <c r="B4" s="288" t="s">
        <v>72</v>
      </c>
      <c r="C4" s="288" t="s">
        <v>72</v>
      </c>
      <c r="D4" s="289" t="s">
        <v>98</v>
      </c>
      <c r="E4" s="289" t="s">
        <v>100</v>
      </c>
      <c r="F4" s="289"/>
    </row>
    <row r="5" spans="1:6" ht="12.75">
      <c r="A5" s="288" t="s">
        <v>72</v>
      </c>
      <c r="B5" s="288" t="s">
        <v>72</v>
      </c>
      <c r="C5" s="288" t="s">
        <v>72</v>
      </c>
      <c r="D5" s="289" t="s">
        <v>72</v>
      </c>
      <c r="E5" s="64" t="s">
        <v>99</v>
      </c>
      <c r="F5" s="64" t="s">
        <v>119</v>
      </c>
    </row>
    <row r="6" spans="1:6" ht="12.75">
      <c r="A6" s="63" t="s">
        <v>5</v>
      </c>
      <c r="B6" s="63" t="s">
        <v>83</v>
      </c>
      <c r="C6" s="63" t="s">
        <v>84</v>
      </c>
      <c r="D6" s="64" t="s">
        <v>85</v>
      </c>
      <c r="E6" s="64" t="s">
        <v>86</v>
      </c>
      <c r="F6" s="64" t="s">
        <v>87</v>
      </c>
    </row>
    <row r="7" spans="1:6" ht="12.75">
      <c r="A7" s="43" t="s">
        <v>72</v>
      </c>
      <c r="B7" s="43" t="s">
        <v>72</v>
      </c>
      <c r="C7" s="44" t="s">
        <v>1</v>
      </c>
      <c r="D7" s="47">
        <f>D8+D114+D264+D319+D348+D373+D443</f>
        <v>822957.4</v>
      </c>
      <c r="E7" s="47">
        <f>E8+E114+E264+E319+E348+E373+E443</f>
        <v>615531.9</v>
      </c>
      <c r="F7" s="47">
        <f>F8+F114+F264+F319+F348+F373+F443</f>
        <v>605598.2</v>
      </c>
    </row>
    <row r="8" spans="1:6" ht="35.25" customHeight="1">
      <c r="A8" s="40">
        <v>1100000000</v>
      </c>
      <c r="B8" s="45"/>
      <c r="C8" s="33" t="s">
        <v>247</v>
      </c>
      <c r="D8" s="48">
        <f>D9+D65+D89</f>
        <v>479543.49999999994</v>
      </c>
      <c r="E8" s="48">
        <f>E9+E65+E89</f>
        <v>433838.5</v>
      </c>
      <c r="F8" s="48">
        <f>F9+F65+F89</f>
        <v>433838.5</v>
      </c>
    </row>
    <row r="9" spans="1:6" ht="16.15" customHeight="1">
      <c r="A9" s="59">
        <v>1110000000</v>
      </c>
      <c r="B9" s="59"/>
      <c r="C9" s="60" t="s">
        <v>225</v>
      </c>
      <c r="D9" s="49">
        <f>D10+D26+D32+D39+D48+D58</f>
        <v>430843.6</v>
      </c>
      <c r="E9" s="49">
        <f>E10+E26+E32+E39+E48+E58</f>
        <v>392886.1</v>
      </c>
      <c r="F9" s="49">
        <f>F10+F26+F32+F39+F48+F58</f>
        <v>392886.1</v>
      </c>
    </row>
    <row r="10" spans="1:6" ht="47.25">
      <c r="A10" s="59">
        <v>1110100000</v>
      </c>
      <c r="B10" s="31"/>
      <c r="C10" s="60" t="s">
        <v>226</v>
      </c>
      <c r="D10" s="49">
        <f>D20+D14+D17+D11+D23</f>
        <v>398469.6</v>
      </c>
      <c r="E10" s="49">
        <f aca="true" t="shared" si="0" ref="E10:F10">E20+E14+E17+E11+E23</f>
        <v>377923.5</v>
      </c>
      <c r="F10" s="49">
        <f t="shared" si="0"/>
        <v>377923.5</v>
      </c>
    </row>
    <row r="11" spans="1:6" ht="47.25">
      <c r="A11" s="11" t="s">
        <v>365</v>
      </c>
      <c r="B11" s="13"/>
      <c r="C11" s="9" t="s">
        <v>366</v>
      </c>
      <c r="D11" s="49">
        <f>D12</f>
        <v>9536.9</v>
      </c>
      <c r="E11" s="49">
        <f aca="true" t="shared" si="1" ref="E11:F12">E12</f>
        <v>0</v>
      </c>
      <c r="F11" s="49">
        <f t="shared" si="1"/>
        <v>0</v>
      </c>
    </row>
    <row r="12" spans="1:6" ht="31.5">
      <c r="A12" s="11" t="s">
        <v>365</v>
      </c>
      <c r="B12" s="86" t="s">
        <v>112</v>
      </c>
      <c r="C12" s="85" t="s">
        <v>113</v>
      </c>
      <c r="D12" s="49">
        <f>D13</f>
        <v>9536.9</v>
      </c>
      <c r="E12" s="49">
        <f t="shared" si="1"/>
        <v>0</v>
      </c>
      <c r="F12" s="49">
        <f t="shared" si="1"/>
        <v>0</v>
      </c>
    </row>
    <row r="13" spans="1:6" ht="12.75">
      <c r="A13" s="11" t="s">
        <v>365</v>
      </c>
      <c r="B13" s="84">
        <v>610</v>
      </c>
      <c r="C13" s="85" t="s">
        <v>130</v>
      </c>
      <c r="D13" s="49">
        <f>'№5 '!E337+'№5 '!E363</f>
        <v>9536.9</v>
      </c>
      <c r="E13" s="49">
        <f>'№5 '!F337</f>
        <v>0</v>
      </c>
      <c r="F13" s="49">
        <f>'№5 '!G337</f>
        <v>0</v>
      </c>
    </row>
    <row r="14" spans="1:6" ht="47.25">
      <c r="A14" s="11" t="s">
        <v>228</v>
      </c>
      <c r="B14" s="13"/>
      <c r="C14" s="9" t="s">
        <v>129</v>
      </c>
      <c r="D14" s="49">
        <f>D15</f>
        <v>93485.5</v>
      </c>
      <c r="E14" s="49">
        <f aca="true" t="shared" si="2" ref="E14:F15">E15</f>
        <v>87964.5</v>
      </c>
      <c r="F14" s="49">
        <f t="shared" si="2"/>
        <v>87964.5</v>
      </c>
    </row>
    <row r="15" spans="1:6" ht="31.5">
      <c r="A15" s="11" t="s">
        <v>228</v>
      </c>
      <c r="B15" s="61" t="s">
        <v>112</v>
      </c>
      <c r="C15" s="60" t="s">
        <v>113</v>
      </c>
      <c r="D15" s="49">
        <f>D16</f>
        <v>93485.5</v>
      </c>
      <c r="E15" s="49">
        <f t="shared" si="2"/>
        <v>87964.5</v>
      </c>
      <c r="F15" s="49">
        <f t="shared" si="2"/>
        <v>87964.5</v>
      </c>
    </row>
    <row r="16" spans="1:6" ht="12.75">
      <c r="A16" s="11" t="s">
        <v>228</v>
      </c>
      <c r="B16" s="59">
        <v>610</v>
      </c>
      <c r="C16" s="60" t="s">
        <v>130</v>
      </c>
      <c r="D16" s="49">
        <f>'№5 '!E340</f>
        <v>93485.5</v>
      </c>
      <c r="E16" s="49">
        <f>'№5 '!F340</f>
        <v>87964.5</v>
      </c>
      <c r="F16" s="49">
        <f>'№5 '!G340</f>
        <v>87964.5</v>
      </c>
    </row>
    <row r="17" spans="1:6" ht="83.25" customHeight="1">
      <c r="A17" s="59">
        <v>1110110750</v>
      </c>
      <c r="B17" s="59"/>
      <c r="C17" s="60" t="s">
        <v>229</v>
      </c>
      <c r="D17" s="49">
        <f>D18</f>
        <v>180708.3</v>
      </c>
      <c r="E17" s="49">
        <f aca="true" t="shared" si="3" ref="E17:F18">E18</f>
        <v>176961.6</v>
      </c>
      <c r="F17" s="49">
        <f t="shared" si="3"/>
        <v>176961.6</v>
      </c>
    </row>
    <row r="18" spans="1:6" ht="31.5">
      <c r="A18" s="59">
        <v>1110110750</v>
      </c>
      <c r="B18" s="61" t="s">
        <v>112</v>
      </c>
      <c r="C18" s="60" t="s">
        <v>113</v>
      </c>
      <c r="D18" s="49">
        <f>D19</f>
        <v>180708.3</v>
      </c>
      <c r="E18" s="49">
        <f t="shared" si="3"/>
        <v>176961.6</v>
      </c>
      <c r="F18" s="49">
        <f t="shared" si="3"/>
        <v>176961.6</v>
      </c>
    </row>
    <row r="19" spans="1:6" ht="12.75">
      <c r="A19" s="59">
        <v>1110110750</v>
      </c>
      <c r="B19" s="59">
        <v>610</v>
      </c>
      <c r="C19" s="60" t="s">
        <v>130</v>
      </c>
      <c r="D19" s="49">
        <f>'№5 '!E366</f>
        <v>180708.3</v>
      </c>
      <c r="E19" s="49">
        <f>'№5 '!F366</f>
        <v>176961.6</v>
      </c>
      <c r="F19" s="49">
        <f>'№5 '!G366</f>
        <v>176961.6</v>
      </c>
    </row>
    <row r="20" spans="1:6" ht="31.5">
      <c r="A20" s="11" t="s">
        <v>227</v>
      </c>
      <c r="B20" s="11"/>
      <c r="C20" s="9" t="s">
        <v>151</v>
      </c>
      <c r="D20" s="49">
        <f>D21</f>
        <v>113785.3</v>
      </c>
      <c r="E20" s="49">
        <f aca="true" t="shared" si="4" ref="E20:F20">E21</f>
        <v>112997.4</v>
      </c>
      <c r="F20" s="49">
        <f t="shared" si="4"/>
        <v>112997.4</v>
      </c>
    </row>
    <row r="21" spans="1:6" ht="31.5">
      <c r="A21" s="11" t="s">
        <v>227</v>
      </c>
      <c r="B21" s="61" t="s">
        <v>112</v>
      </c>
      <c r="C21" s="60" t="s">
        <v>113</v>
      </c>
      <c r="D21" s="49">
        <f>D22</f>
        <v>113785.3</v>
      </c>
      <c r="E21" s="49">
        <f aca="true" t="shared" si="5" ref="E21:F21">E22</f>
        <v>112997.4</v>
      </c>
      <c r="F21" s="49">
        <f t="shared" si="5"/>
        <v>112997.4</v>
      </c>
    </row>
    <row r="22" spans="1:6" ht="12.75">
      <c r="A22" s="11" t="s">
        <v>227</v>
      </c>
      <c r="B22" s="59">
        <v>610</v>
      </c>
      <c r="C22" s="60" t="s">
        <v>130</v>
      </c>
      <c r="D22" s="49">
        <f>'№5 '!E343+'№5 '!E367</f>
        <v>113785.3</v>
      </c>
      <c r="E22" s="49">
        <f>'№5 '!F343+'№5 '!F367</f>
        <v>112997.4</v>
      </c>
      <c r="F22" s="49">
        <f>'№5 '!G343+'№5 '!G367</f>
        <v>112997.4</v>
      </c>
    </row>
    <row r="23" spans="1:6" ht="47.25">
      <c r="A23" s="11" t="s">
        <v>368</v>
      </c>
      <c r="B23" s="13"/>
      <c r="C23" s="9" t="s">
        <v>371</v>
      </c>
      <c r="D23" s="49">
        <f>D24</f>
        <v>953.5999999999999</v>
      </c>
      <c r="E23" s="49">
        <f aca="true" t="shared" si="6" ref="E23:F24">E24</f>
        <v>0</v>
      </c>
      <c r="F23" s="49">
        <f t="shared" si="6"/>
        <v>0</v>
      </c>
    </row>
    <row r="24" spans="1:6" ht="31.5">
      <c r="A24" s="11" t="s">
        <v>368</v>
      </c>
      <c r="B24" s="89" t="s">
        <v>112</v>
      </c>
      <c r="C24" s="88" t="s">
        <v>113</v>
      </c>
      <c r="D24" s="49">
        <f>D25</f>
        <v>953.5999999999999</v>
      </c>
      <c r="E24" s="49">
        <f t="shared" si="6"/>
        <v>0</v>
      </c>
      <c r="F24" s="49">
        <f t="shared" si="6"/>
        <v>0</v>
      </c>
    </row>
    <row r="25" spans="1:6" ht="12.75">
      <c r="A25" s="11" t="s">
        <v>368</v>
      </c>
      <c r="B25" s="87">
        <v>610</v>
      </c>
      <c r="C25" s="88" t="s">
        <v>130</v>
      </c>
      <c r="D25" s="49">
        <f>'№5 '!E346+'№5 '!E372</f>
        <v>953.5999999999999</v>
      </c>
      <c r="E25" s="49">
        <f>'№5 '!F346+'№5 '!F372</f>
        <v>0</v>
      </c>
      <c r="F25" s="49">
        <f>'№5 '!G346+'№5 '!G372</f>
        <v>0</v>
      </c>
    </row>
    <row r="26" spans="1:6" ht="36" customHeight="1">
      <c r="A26" s="59">
        <v>1110200000</v>
      </c>
      <c r="B26" s="59"/>
      <c r="C26" s="60" t="s">
        <v>241</v>
      </c>
      <c r="D26" s="49">
        <f>D27</f>
        <v>10448.599999999999</v>
      </c>
      <c r="E26" s="49">
        <f aca="true" t="shared" si="7" ref="E26:F26">E27</f>
        <v>10448.599999999999</v>
      </c>
      <c r="F26" s="49">
        <f t="shared" si="7"/>
        <v>10448.599999999999</v>
      </c>
    </row>
    <row r="27" spans="1:6" ht="78.75">
      <c r="A27" s="59">
        <v>1110210500</v>
      </c>
      <c r="B27" s="59"/>
      <c r="C27" s="60" t="s">
        <v>319</v>
      </c>
      <c r="D27" s="49">
        <f>D28+D30</f>
        <v>10448.599999999999</v>
      </c>
      <c r="E27" s="49">
        <f aca="true" t="shared" si="8" ref="E27:F27">E28+E30</f>
        <v>10448.599999999999</v>
      </c>
      <c r="F27" s="49">
        <f t="shared" si="8"/>
        <v>10448.599999999999</v>
      </c>
    </row>
    <row r="28" spans="1:6" ht="31.5">
      <c r="A28" s="59">
        <v>1110210500</v>
      </c>
      <c r="B28" s="59" t="s">
        <v>75</v>
      </c>
      <c r="C28" s="60" t="s">
        <v>110</v>
      </c>
      <c r="D28" s="49">
        <f>D29</f>
        <v>254.8</v>
      </c>
      <c r="E28" s="49">
        <f aca="true" t="shared" si="9" ref="E28:F28">E29</f>
        <v>254.8</v>
      </c>
      <c r="F28" s="49">
        <f t="shared" si="9"/>
        <v>254.8</v>
      </c>
    </row>
    <row r="29" spans="1:6" ht="33" customHeight="1">
      <c r="A29" s="59">
        <v>1110210500</v>
      </c>
      <c r="B29" s="59">
        <v>240</v>
      </c>
      <c r="C29" s="60" t="s">
        <v>469</v>
      </c>
      <c r="D29" s="49">
        <f>'№5 '!E626</f>
        <v>254.8</v>
      </c>
      <c r="E29" s="49">
        <f>'№5 '!F626</f>
        <v>254.8</v>
      </c>
      <c r="F29" s="49">
        <f>'№5 '!G626</f>
        <v>254.8</v>
      </c>
    </row>
    <row r="30" spans="1:6" ht="12.75">
      <c r="A30" s="59">
        <v>1110210500</v>
      </c>
      <c r="B30" s="59" t="s">
        <v>79</v>
      </c>
      <c r="C30" s="60" t="s">
        <v>80</v>
      </c>
      <c r="D30" s="49">
        <f>D31</f>
        <v>10193.8</v>
      </c>
      <c r="E30" s="49">
        <f aca="true" t="shared" si="10" ref="E30:F30">E31</f>
        <v>10193.8</v>
      </c>
      <c r="F30" s="49">
        <f t="shared" si="10"/>
        <v>10193.8</v>
      </c>
    </row>
    <row r="31" spans="1:6" ht="31.5">
      <c r="A31" s="59">
        <v>1110210500</v>
      </c>
      <c r="B31" s="1" t="s">
        <v>127</v>
      </c>
      <c r="C31" s="22" t="s">
        <v>128</v>
      </c>
      <c r="D31" s="49">
        <f>'№5 '!E628</f>
        <v>10193.8</v>
      </c>
      <c r="E31" s="49">
        <f>'№5 '!F628</f>
        <v>10193.8</v>
      </c>
      <c r="F31" s="49">
        <f>'№5 '!G628</f>
        <v>10193.8</v>
      </c>
    </row>
    <row r="32" spans="1:6" ht="31.5">
      <c r="A32" s="59">
        <v>1110300000</v>
      </c>
      <c r="B32" s="59"/>
      <c r="C32" s="60" t="s">
        <v>230</v>
      </c>
      <c r="D32" s="49">
        <f>D36+D33</f>
        <v>8326</v>
      </c>
      <c r="E32" s="49">
        <f aca="true" t="shared" si="11" ref="E32:F32">E36+E33</f>
        <v>4201.2</v>
      </c>
      <c r="F32" s="49">
        <f t="shared" si="11"/>
        <v>4201.2</v>
      </c>
    </row>
    <row r="33" spans="1:6" ht="47.25">
      <c r="A33" s="59">
        <v>1110310230</v>
      </c>
      <c r="B33" s="59"/>
      <c r="C33" s="60" t="s">
        <v>313</v>
      </c>
      <c r="D33" s="49">
        <f>D34</f>
        <v>4163</v>
      </c>
      <c r="E33" s="49">
        <f aca="true" t="shared" si="12" ref="E33:F34">E34</f>
        <v>0</v>
      </c>
      <c r="F33" s="49">
        <f t="shared" si="12"/>
        <v>0</v>
      </c>
    </row>
    <row r="34" spans="1:6" ht="31.5">
      <c r="A34" s="59">
        <v>1110310230</v>
      </c>
      <c r="B34" s="61" t="s">
        <v>112</v>
      </c>
      <c r="C34" s="60" t="s">
        <v>113</v>
      </c>
      <c r="D34" s="49">
        <f>D35</f>
        <v>4163</v>
      </c>
      <c r="E34" s="49">
        <f t="shared" si="12"/>
        <v>0</v>
      </c>
      <c r="F34" s="49">
        <f t="shared" si="12"/>
        <v>0</v>
      </c>
    </row>
    <row r="35" spans="1:6" ht="12.75">
      <c r="A35" s="59">
        <v>1110310230</v>
      </c>
      <c r="B35" s="59">
        <v>610</v>
      </c>
      <c r="C35" s="60" t="s">
        <v>130</v>
      </c>
      <c r="D35" s="49">
        <f>'№5 '!E376</f>
        <v>4163</v>
      </c>
      <c r="E35" s="49">
        <f>'№5 '!F376</f>
        <v>0</v>
      </c>
      <c r="F35" s="49">
        <f>'№5 '!G376</f>
        <v>0</v>
      </c>
    </row>
    <row r="36" spans="1:6" ht="47.25">
      <c r="A36" s="59" t="s">
        <v>232</v>
      </c>
      <c r="B36" s="59"/>
      <c r="C36" s="60" t="s">
        <v>231</v>
      </c>
      <c r="D36" s="49">
        <f aca="true" t="shared" si="13" ref="D36:F37">D37</f>
        <v>4163</v>
      </c>
      <c r="E36" s="49">
        <f t="shared" si="13"/>
        <v>4201.2</v>
      </c>
      <c r="F36" s="49">
        <f t="shared" si="13"/>
        <v>4201.2</v>
      </c>
    </row>
    <row r="37" spans="1:6" ht="31.5">
      <c r="A37" s="59" t="s">
        <v>232</v>
      </c>
      <c r="B37" s="61" t="s">
        <v>112</v>
      </c>
      <c r="C37" s="60" t="s">
        <v>113</v>
      </c>
      <c r="D37" s="49">
        <f t="shared" si="13"/>
        <v>4163</v>
      </c>
      <c r="E37" s="49">
        <f t="shared" si="13"/>
        <v>4201.2</v>
      </c>
      <c r="F37" s="49">
        <f t="shared" si="13"/>
        <v>4201.2</v>
      </c>
    </row>
    <row r="38" spans="1:6" ht="12.75">
      <c r="A38" s="59" t="s">
        <v>232</v>
      </c>
      <c r="B38" s="59">
        <v>610</v>
      </c>
      <c r="C38" s="60" t="s">
        <v>130</v>
      </c>
      <c r="D38" s="49">
        <f>'№5 '!E379</f>
        <v>4163</v>
      </c>
      <c r="E38" s="49">
        <f>'№5 '!F379</f>
        <v>4201.2</v>
      </c>
      <c r="F38" s="49">
        <f>'№5 '!G379</f>
        <v>4201.2</v>
      </c>
    </row>
    <row r="39" spans="1:6" ht="12.75">
      <c r="A39" s="59">
        <v>1110400000</v>
      </c>
      <c r="B39" s="59"/>
      <c r="C39" s="31" t="s">
        <v>236</v>
      </c>
      <c r="D39" s="49">
        <f>D45+D40</f>
        <v>3367.8999999999996</v>
      </c>
      <c r="E39" s="49">
        <f aca="true" t="shared" si="14" ref="E39:F39">E45+E40</f>
        <v>168.7</v>
      </c>
      <c r="F39" s="49">
        <f t="shared" si="14"/>
        <v>168.7</v>
      </c>
    </row>
    <row r="40" spans="1:6" ht="31.5">
      <c r="A40" s="59">
        <v>1110410240</v>
      </c>
      <c r="B40" s="59"/>
      <c r="C40" s="60" t="s">
        <v>312</v>
      </c>
      <c r="D40" s="49">
        <f>D41+D43</f>
        <v>3209.2</v>
      </c>
      <c r="E40" s="49">
        <f aca="true" t="shared" si="15" ref="E40:F40">E41+E43</f>
        <v>0</v>
      </c>
      <c r="F40" s="49">
        <f t="shared" si="15"/>
        <v>0</v>
      </c>
    </row>
    <row r="41" spans="1:6" ht="12.75">
      <c r="A41" s="59">
        <v>1110410240</v>
      </c>
      <c r="B41" s="1" t="s">
        <v>79</v>
      </c>
      <c r="C41" s="37" t="s">
        <v>80</v>
      </c>
      <c r="D41" s="49">
        <f>D42</f>
        <v>49.30000000000001</v>
      </c>
      <c r="E41" s="49">
        <f aca="true" t="shared" si="16" ref="E41:F41">E42</f>
        <v>0</v>
      </c>
      <c r="F41" s="49">
        <f t="shared" si="16"/>
        <v>0</v>
      </c>
    </row>
    <row r="42" spans="1:6" ht="31.5">
      <c r="A42" s="59">
        <v>1110410240</v>
      </c>
      <c r="B42" s="59">
        <v>320</v>
      </c>
      <c r="C42" s="60" t="s">
        <v>128</v>
      </c>
      <c r="D42" s="49">
        <f>'№5 '!E475</f>
        <v>49.30000000000001</v>
      </c>
      <c r="E42" s="49">
        <f>'№5 '!F475</f>
        <v>0</v>
      </c>
      <c r="F42" s="49">
        <f>'№5 '!G475</f>
        <v>0</v>
      </c>
    </row>
    <row r="43" spans="1:6" ht="31.5">
      <c r="A43" s="59">
        <v>1110410240</v>
      </c>
      <c r="B43" s="61" t="s">
        <v>112</v>
      </c>
      <c r="C43" s="60" t="s">
        <v>113</v>
      </c>
      <c r="D43" s="49">
        <f>D44</f>
        <v>3159.8999999999996</v>
      </c>
      <c r="E43" s="49">
        <f aca="true" t="shared" si="17" ref="E43:F43">E44</f>
        <v>0</v>
      </c>
      <c r="F43" s="49">
        <f t="shared" si="17"/>
        <v>0</v>
      </c>
    </row>
    <row r="44" spans="1:6" ht="12.75">
      <c r="A44" s="59">
        <v>1110410240</v>
      </c>
      <c r="B44" s="59">
        <v>610</v>
      </c>
      <c r="C44" s="60" t="s">
        <v>130</v>
      </c>
      <c r="D44" s="49">
        <f>'№5 '!E477</f>
        <v>3159.8999999999996</v>
      </c>
      <c r="E44" s="49">
        <f>'№5 '!F477</f>
        <v>0</v>
      </c>
      <c r="F44" s="49">
        <f>'№5 '!G477</f>
        <v>0</v>
      </c>
    </row>
    <row r="45" spans="1:6" ht="31.5">
      <c r="A45" s="59" t="s">
        <v>238</v>
      </c>
      <c r="B45" s="59"/>
      <c r="C45" s="31" t="s">
        <v>237</v>
      </c>
      <c r="D45" s="49">
        <f>D46</f>
        <v>158.7</v>
      </c>
      <c r="E45" s="49">
        <f aca="true" t="shared" si="18" ref="E45:F46">E46</f>
        <v>168.7</v>
      </c>
      <c r="F45" s="49">
        <f t="shared" si="18"/>
        <v>168.7</v>
      </c>
    </row>
    <row r="46" spans="1:6" ht="12.75">
      <c r="A46" s="59" t="s">
        <v>238</v>
      </c>
      <c r="B46" s="1" t="s">
        <v>79</v>
      </c>
      <c r="C46" s="2" t="s">
        <v>80</v>
      </c>
      <c r="D46" s="49">
        <f>D47</f>
        <v>158.7</v>
      </c>
      <c r="E46" s="49">
        <f t="shared" si="18"/>
        <v>168.7</v>
      </c>
      <c r="F46" s="49">
        <f t="shared" si="18"/>
        <v>168.7</v>
      </c>
    </row>
    <row r="47" spans="1:6" ht="31.5">
      <c r="A47" s="59" t="s">
        <v>238</v>
      </c>
      <c r="B47" s="59">
        <v>320</v>
      </c>
      <c r="C47" s="60" t="s">
        <v>128</v>
      </c>
      <c r="D47" s="49">
        <f>'№5 '!E480</f>
        <v>158.7</v>
      </c>
      <c r="E47" s="49">
        <f>'№5 '!F480</f>
        <v>168.7</v>
      </c>
      <c r="F47" s="49">
        <f>'№5 '!G480</f>
        <v>168.7</v>
      </c>
    </row>
    <row r="48" spans="1:6" ht="63">
      <c r="A48" s="59">
        <v>1110500000</v>
      </c>
      <c r="B48" s="59"/>
      <c r="C48" s="60" t="s">
        <v>233</v>
      </c>
      <c r="D48" s="49">
        <f>D55+D49+D52</f>
        <v>9969.5</v>
      </c>
      <c r="E48" s="49">
        <f aca="true" t="shared" si="19" ref="E48:F48">E55+E49+E52</f>
        <v>0</v>
      </c>
      <c r="F48" s="49">
        <f t="shared" si="19"/>
        <v>0</v>
      </c>
    </row>
    <row r="49" spans="1:6" ht="47.25">
      <c r="A49" s="59">
        <v>1110510440</v>
      </c>
      <c r="B49" s="59"/>
      <c r="C49" s="60" t="s">
        <v>328</v>
      </c>
      <c r="D49" s="49">
        <f>D50</f>
        <v>6050.099999999999</v>
      </c>
      <c r="E49" s="49">
        <f aca="true" t="shared" si="20" ref="E49:F50">E50</f>
        <v>0</v>
      </c>
      <c r="F49" s="49">
        <f t="shared" si="20"/>
        <v>0</v>
      </c>
    </row>
    <row r="50" spans="1:6" ht="31.5">
      <c r="A50" s="59">
        <v>1110510440</v>
      </c>
      <c r="B50" s="61" t="s">
        <v>112</v>
      </c>
      <c r="C50" s="60" t="s">
        <v>113</v>
      </c>
      <c r="D50" s="49">
        <f>D51</f>
        <v>6050.099999999999</v>
      </c>
      <c r="E50" s="49">
        <f t="shared" si="20"/>
        <v>0</v>
      </c>
      <c r="F50" s="49">
        <f t="shared" si="20"/>
        <v>0</v>
      </c>
    </row>
    <row r="51" spans="1:6" ht="12.75">
      <c r="A51" s="59">
        <v>1110510440</v>
      </c>
      <c r="B51" s="59">
        <v>610</v>
      </c>
      <c r="C51" s="60" t="s">
        <v>130</v>
      </c>
      <c r="D51" s="49">
        <f>'№5 '!E383</f>
        <v>6050.099999999999</v>
      </c>
      <c r="E51" s="49">
        <f>'№5 '!F383</f>
        <v>0</v>
      </c>
      <c r="F51" s="49">
        <f>'№5 '!G383</f>
        <v>0</v>
      </c>
    </row>
    <row r="52" spans="1:6" ht="12.75">
      <c r="A52" s="11" t="s">
        <v>338</v>
      </c>
      <c r="B52" s="68"/>
      <c r="C52" s="69" t="s">
        <v>339</v>
      </c>
      <c r="D52" s="49">
        <f>D53</f>
        <v>1739.5</v>
      </c>
      <c r="E52" s="49">
        <f aca="true" t="shared" si="21" ref="E52:F53">E53</f>
        <v>0</v>
      </c>
      <c r="F52" s="49">
        <f t="shared" si="21"/>
        <v>0</v>
      </c>
    </row>
    <row r="53" spans="1:6" ht="31.5">
      <c r="A53" s="11" t="s">
        <v>338</v>
      </c>
      <c r="B53" s="70" t="s">
        <v>112</v>
      </c>
      <c r="C53" s="69" t="s">
        <v>113</v>
      </c>
      <c r="D53" s="49">
        <f>D54</f>
        <v>1739.5</v>
      </c>
      <c r="E53" s="49">
        <f t="shared" si="21"/>
        <v>0</v>
      </c>
      <c r="F53" s="49">
        <f t="shared" si="21"/>
        <v>0</v>
      </c>
    </row>
    <row r="54" spans="1:6" ht="12.75">
      <c r="A54" s="11" t="s">
        <v>338</v>
      </c>
      <c r="B54" s="68">
        <v>610</v>
      </c>
      <c r="C54" s="69" t="s">
        <v>130</v>
      </c>
      <c r="D54" s="49">
        <f>'№5 '!E350+'№5 '!E389</f>
        <v>1739.5</v>
      </c>
      <c r="E54" s="49">
        <f>'№5 '!F350</f>
        <v>0</v>
      </c>
      <c r="F54" s="49">
        <f>'№5 '!G350</f>
        <v>0</v>
      </c>
    </row>
    <row r="55" spans="1:6" ht="31.5">
      <c r="A55" s="59" t="s">
        <v>234</v>
      </c>
      <c r="B55" s="59"/>
      <c r="C55" s="60" t="s">
        <v>320</v>
      </c>
      <c r="D55" s="49">
        <f>D56</f>
        <v>2179.9000000000005</v>
      </c>
      <c r="E55" s="49">
        <f aca="true" t="shared" si="22" ref="E55:F56">E56</f>
        <v>0</v>
      </c>
      <c r="F55" s="49">
        <f t="shared" si="22"/>
        <v>0</v>
      </c>
    </row>
    <row r="56" spans="1:6" ht="31.5">
      <c r="A56" s="59" t="s">
        <v>234</v>
      </c>
      <c r="B56" s="61" t="s">
        <v>112</v>
      </c>
      <c r="C56" s="60" t="s">
        <v>113</v>
      </c>
      <c r="D56" s="49">
        <f>D57</f>
        <v>2179.9000000000005</v>
      </c>
      <c r="E56" s="49">
        <f t="shared" si="22"/>
        <v>0</v>
      </c>
      <c r="F56" s="49">
        <f t="shared" si="22"/>
        <v>0</v>
      </c>
    </row>
    <row r="57" spans="1:6" ht="12.75">
      <c r="A57" s="59" t="s">
        <v>234</v>
      </c>
      <c r="B57" s="59">
        <v>610</v>
      </c>
      <c r="C57" s="60" t="s">
        <v>130</v>
      </c>
      <c r="D57" s="49">
        <f>'№5 '!E386</f>
        <v>2179.9000000000005</v>
      </c>
      <c r="E57" s="49">
        <f>'№5 '!F386</f>
        <v>0</v>
      </c>
      <c r="F57" s="49">
        <f>'№5 '!G386</f>
        <v>0</v>
      </c>
    </row>
    <row r="58" spans="1:6" ht="63">
      <c r="A58" s="59">
        <v>1110600000</v>
      </c>
      <c r="B58" s="59"/>
      <c r="C58" s="60" t="s">
        <v>303</v>
      </c>
      <c r="D58" s="49">
        <f>D62+D59</f>
        <v>262</v>
      </c>
      <c r="E58" s="49">
        <f aca="true" t="shared" si="23" ref="E58:F58">E62+E59</f>
        <v>144.1</v>
      </c>
      <c r="F58" s="49">
        <f t="shared" si="23"/>
        <v>144.1</v>
      </c>
    </row>
    <row r="59" spans="1:6" ht="31.5">
      <c r="A59" s="59">
        <v>1110610440</v>
      </c>
      <c r="B59" s="59"/>
      <c r="C59" s="60" t="s">
        <v>320</v>
      </c>
      <c r="D59" s="49">
        <f>D60</f>
        <v>131</v>
      </c>
      <c r="E59" s="49">
        <f aca="true" t="shared" si="24" ref="E59:F60">E60</f>
        <v>0</v>
      </c>
      <c r="F59" s="49">
        <f t="shared" si="24"/>
        <v>0</v>
      </c>
    </row>
    <row r="60" spans="1:6" ht="31.5">
      <c r="A60" s="59">
        <v>1110610440</v>
      </c>
      <c r="B60" s="61" t="s">
        <v>112</v>
      </c>
      <c r="C60" s="60" t="s">
        <v>113</v>
      </c>
      <c r="D60" s="49">
        <f>D61</f>
        <v>131</v>
      </c>
      <c r="E60" s="49">
        <f t="shared" si="24"/>
        <v>0</v>
      </c>
      <c r="F60" s="49">
        <f t="shared" si="24"/>
        <v>0</v>
      </c>
    </row>
    <row r="61" spans="1:6" ht="12.75">
      <c r="A61" s="59">
        <v>1110610440</v>
      </c>
      <c r="B61" s="59">
        <v>610</v>
      </c>
      <c r="C61" s="60" t="s">
        <v>130</v>
      </c>
      <c r="D61" s="49">
        <f>'№5 '!E393</f>
        <v>131</v>
      </c>
      <c r="E61" s="49">
        <f>'№5 '!F393</f>
        <v>0</v>
      </c>
      <c r="F61" s="49">
        <f>'№5 '!G393</f>
        <v>0</v>
      </c>
    </row>
    <row r="62" spans="1:6" ht="31.5">
      <c r="A62" s="59" t="s">
        <v>302</v>
      </c>
      <c r="B62" s="59"/>
      <c r="C62" s="60" t="s">
        <v>320</v>
      </c>
      <c r="D62" s="49">
        <f>D63</f>
        <v>131</v>
      </c>
      <c r="E62" s="49">
        <f aca="true" t="shared" si="25" ref="E62:F63">E63</f>
        <v>144.1</v>
      </c>
      <c r="F62" s="49">
        <f t="shared" si="25"/>
        <v>144.1</v>
      </c>
    </row>
    <row r="63" spans="1:6" ht="31.5">
      <c r="A63" s="59" t="s">
        <v>302</v>
      </c>
      <c r="B63" s="61" t="s">
        <v>112</v>
      </c>
      <c r="C63" s="60" t="s">
        <v>113</v>
      </c>
      <c r="D63" s="49">
        <f>D64</f>
        <v>131</v>
      </c>
      <c r="E63" s="49">
        <f t="shared" si="25"/>
        <v>144.1</v>
      </c>
      <c r="F63" s="49">
        <f t="shared" si="25"/>
        <v>144.1</v>
      </c>
    </row>
    <row r="64" spans="1:6" ht="12.75">
      <c r="A64" s="59" t="s">
        <v>302</v>
      </c>
      <c r="B64" s="59">
        <v>610</v>
      </c>
      <c r="C64" s="60" t="s">
        <v>130</v>
      </c>
      <c r="D64" s="49">
        <f>'№5 '!E396</f>
        <v>131</v>
      </c>
      <c r="E64" s="49">
        <f>'№5 '!F396</f>
        <v>144.1</v>
      </c>
      <c r="F64" s="49">
        <f>'№5 '!G396</f>
        <v>144.1</v>
      </c>
    </row>
    <row r="65" spans="1:6" ht="12.75">
      <c r="A65" s="59">
        <v>1120000000</v>
      </c>
      <c r="B65" s="59"/>
      <c r="C65" s="60" t="s">
        <v>149</v>
      </c>
      <c r="D65" s="49">
        <f>D66+D82</f>
        <v>47738.799999999996</v>
      </c>
      <c r="E65" s="49">
        <f>E66+E82</f>
        <v>40167.2</v>
      </c>
      <c r="F65" s="49">
        <f>F66+F82</f>
        <v>40167.2</v>
      </c>
    </row>
    <row r="66" spans="1:6" ht="47.25">
      <c r="A66" s="59">
        <v>1120100000</v>
      </c>
      <c r="B66" s="59"/>
      <c r="C66" s="60" t="s">
        <v>150</v>
      </c>
      <c r="D66" s="49">
        <f>D73+D70+D79+D67+D76</f>
        <v>46921.2</v>
      </c>
      <c r="E66" s="49">
        <f aca="true" t="shared" si="26" ref="E66:F66">E73+E70+E79+E67+E76</f>
        <v>40167.2</v>
      </c>
      <c r="F66" s="49">
        <f t="shared" si="26"/>
        <v>40167.2</v>
      </c>
    </row>
    <row r="67" spans="1:6" ht="47.25">
      <c r="A67" s="11" t="s">
        <v>367</v>
      </c>
      <c r="B67" s="13"/>
      <c r="C67" s="9" t="s">
        <v>366</v>
      </c>
      <c r="D67" s="49">
        <f>D68</f>
        <v>628.3000000000001</v>
      </c>
      <c r="E67" s="49">
        <f aca="true" t="shared" si="27" ref="E67:F68">E68</f>
        <v>0</v>
      </c>
      <c r="F67" s="49">
        <f t="shared" si="27"/>
        <v>0</v>
      </c>
    </row>
    <row r="68" spans="1:6" ht="31.5">
      <c r="A68" s="11" t="s">
        <v>367</v>
      </c>
      <c r="B68" s="86" t="s">
        <v>112</v>
      </c>
      <c r="C68" s="85" t="s">
        <v>113</v>
      </c>
      <c r="D68" s="49">
        <f>D69</f>
        <v>628.3000000000001</v>
      </c>
      <c r="E68" s="49">
        <f t="shared" si="27"/>
        <v>0</v>
      </c>
      <c r="F68" s="49">
        <f t="shared" si="27"/>
        <v>0</v>
      </c>
    </row>
    <row r="69" spans="1:6" ht="12.75">
      <c r="A69" s="11" t="s">
        <v>367</v>
      </c>
      <c r="B69" s="84">
        <v>610</v>
      </c>
      <c r="C69" s="85" t="s">
        <v>130</v>
      </c>
      <c r="D69" s="49">
        <f>'№5 '!E431</f>
        <v>628.3000000000001</v>
      </c>
      <c r="E69" s="49">
        <f>'№5 '!F431</f>
        <v>0</v>
      </c>
      <c r="F69" s="49">
        <f>'№5 '!G431</f>
        <v>0</v>
      </c>
    </row>
    <row r="70" spans="1:6" ht="47.25">
      <c r="A70" s="59">
        <v>1120110690</v>
      </c>
      <c r="B70" s="59"/>
      <c r="C70" s="60" t="s">
        <v>317</v>
      </c>
      <c r="D70" s="49">
        <f>D71</f>
        <v>5676.1</v>
      </c>
      <c r="E70" s="49">
        <f aca="true" t="shared" si="28" ref="E70:F71">E71</f>
        <v>0</v>
      </c>
      <c r="F70" s="49">
        <f t="shared" si="28"/>
        <v>0</v>
      </c>
    </row>
    <row r="71" spans="1:6" ht="31.5">
      <c r="A71" s="59">
        <v>1120110690</v>
      </c>
      <c r="B71" s="61" t="s">
        <v>112</v>
      </c>
      <c r="C71" s="60" t="s">
        <v>113</v>
      </c>
      <c r="D71" s="49">
        <f>D72</f>
        <v>5676.1</v>
      </c>
      <c r="E71" s="49">
        <f t="shared" si="28"/>
        <v>0</v>
      </c>
      <c r="F71" s="49">
        <f t="shared" si="28"/>
        <v>0</v>
      </c>
    </row>
    <row r="72" spans="1:6" ht="12.75">
      <c r="A72" s="59">
        <v>1120110690</v>
      </c>
      <c r="B72" s="59">
        <v>610</v>
      </c>
      <c r="C72" s="60" t="s">
        <v>130</v>
      </c>
      <c r="D72" s="49">
        <f>'№5 '!E434</f>
        <v>5676.1</v>
      </c>
      <c r="E72" s="49">
        <f>'№5 '!F434</f>
        <v>0</v>
      </c>
      <c r="F72" s="49">
        <f>'№5 '!G434</f>
        <v>0</v>
      </c>
    </row>
    <row r="73" spans="1:6" ht="31.5">
      <c r="A73" s="59">
        <v>1120120010</v>
      </c>
      <c r="B73" s="59"/>
      <c r="C73" s="60" t="s">
        <v>151</v>
      </c>
      <c r="D73" s="49">
        <f>D74</f>
        <v>40213.1</v>
      </c>
      <c r="E73" s="49">
        <f aca="true" t="shared" si="29" ref="E73:F74">E74</f>
        <v>40167.2</v>
      </c>
      <c r="F73" s="49">
        <f t="shared" si="29"/>
        <v>40167.2</v>
      </c>
    </row>
    <row r="74" spans="1:6" ht="31.5">
      <c r="A74" s="59">
        <v>1120120010</v>
      </c>
      <c r="B74" s="61" t="s">
        <v>112</v>
      </c>
      <c r="C74" s="60" t="s">
        <v>113</v>
      </c>
      <c r="D74" s="49">
        <f>D75</f>
        <v>40213.1</v>
      </c>
      <c r="E74" s="49">
        <f t="shared" si="29"/>
        <v>40167.2</v>
      </c>
      <c r="F74" s="49">
        <f t="shared" si="29"/>
        <v>40167.2</v>
      </c>
    </row>
    <row r="75" spans="1:6" ht="12.75">
      <c r="A75" s="59">
        <v>1120120010</v>
      </c>
      <c r="B75" s="59">
        <v>610</v>
      </c>
      <c r="C75" s="60" t="s">
        <v>130</v>
      </c>
      <c r="D75" s="49">
        <f>'№5 '!E437+'№5 '!E401</f>
        <v>40213.1</v>
      </c>
      <c r="E75" s="49">
        <f>'№5 '!F437+'№5 '!F401</f>
        <v>40167.2</v>
      </c>
      <c r="F75" s="49">
        <f>'№5 '!G437+'№5 '!G401</f>
        <v>40167.2</v>
      </c>
    </row>
    <row r="76" spans="1:6" ht="47.25">
      <c r="A76" s="11" t="s">
        <v>369</v>
      </c>
      <c r="B76" s="13"/>
      <c r="C76" s="9" t="s">
        <v>371</v>
      </c>
      <c r="D76" s="49">
        <f>D77</f>
        <v>63</v>
      </c>
      <c r="E76" s="49">
        <f aca="true" t="shared" si="30" ref="E76:F77">E77</f>
        <v>0</v>
      </c>
      <c r="F76" s="49">
        <f t="shared" si="30"/>
        <v>0</v>
      </c>
    </row>
    <row r="77" spans="1:6" ht="31.5">
      <c r="A77" s="11" t="s">
        <v>369</v>
      </c>
      <c r="B77" s="89" t="s">
        <v>112</v>
      </c>
      <c r="C77" s="88" t="s">
        <v>113</v>
      </c>
      <c r="D77" s="49">
        <f>D78</f>
        <v>63</v>
      </c>
      <c r="E77" s="49">
        <f t="shared" si="30"/>
        <v>0</v>
      </c>
      <c r="F77" s="49">
        <f t="shared" si="30"/>
        <v>0</v>
      </c>
    </row>
    <row r="78" spans="1:6" ht="12.75">
      <c r="A78" s="11" t="s">
        <v>369</v>
      </c>
      <c r="B78" s="87">
        <v>610</v>
      </c>
      <c r="C78" s="88" t="s">
        <v>130</v>
      </c>
      <c r="D78" s="49">
        <f>'№5 '!E440</f>
        <v>63</v>
      </c>
      <c r="E78" s="49">
        <f>'№5 '!F440</f>
        <v>0</v>
      </c>
      <c r="F78" s="49">
        <f>'№5 '!G440</f>
        <v>0</v>
      </c>
    </row>
    <row r="79" spans="1:6" ht="47.25">
      <c r="A79" s="59" t="s">
        <v>316</v>
      </c>
      <c r="B79" s="59"/>
      <c r="C79" s="60" t="s">
        <v>318</v>
      </c>
      <c r="D79" s="28">
        <f>D80</f>
        <v>340.7</v>
      </c>
      <c r="E79" s="28">
        <f aca="true" t="shared" si="31" ref="E79:F80">E80</f>
        <v>0</v>
      </c>
      <c r="F79" s="28">
        <f t="shared" si="31"/>
        <v>0</v>
      </c>
    </row>
    <row r="80" spans="1:6" ht="31.5">
      <c r="A80" s="59" t="s">
        <v>316</v>
      </c>
      <c r="B80" s="61" t="s">
        <v>112</v>
      </c>
      <c r="C80" s="60" t="s">
        <v>113</v>
      </c>
      <c r="D80" s="28">
        <f>D81</f>
        <v>340.7</v>
      </c>
      <c r="E80" s="28">
        <f t="shared" si="31"/>
        <v>0</v>
      </c>
      <c r="F80" s="28">
        <f t="shared" si="31"/>
        <v>0</v>
      </c>
    </row>
    <row r="81" spans="1:6" ht="12.75">
      <c r="A81" s="59" t="s">
        <v>316</v>
      </c>
      <c r="B81" s="59">
        <v>610</v>
      </c>
      <c r="C81" s="60" t="s">
        <v>130</v>
      </c>
      <c r="D81" s="28">
        <f>'№5 '!E443</f>
        <v>340.7</v>
      </c>
      <c r="E81" s="28">
        <f>'№5 '!F443</f>
        <v>0</v>
      </c>
      <c r="F81" s="28">
        <f>'№5 '!G443</f>
        <v>0</v>
      </c>
    </row>
    <row r="82" spans="1:6" ht="47.25">
      <c r="A82" s="61">
        <v>1120200000</v>
      </c>
      <c r="B82" s="59"/>
      <c r="C82" s="60" t="s">
        <v>291</v>
      </c>
      <c r="D82" s="49">
        <f>D83+D86</f>
        <v>817.6</v>
      </c>
      <c r="E82" s="49">
        <f aca="true" t="shared" si="32" ref="E82:F82">E83+E86</f>
        <v>0</v>
      </c>
      <c r="F82" s="49">
        <f t="shared" si="32"/>
        <v>0</v>
      </c>
    </row>
    <row r="83" spans="1:6" ht="31.5">
      <c r="A83" s="61">
        <v>1120220030</v>
      </c>
      <c r="B83" s="59"/>
      <c r="C83" s="60" t="s">
        <v>292</v>
      </c>
      <c r="D83" s="49">
        <f>D84</f>
        <v>391.6</v>
      </c>
      <c r="E83" s="49">
        <f aca="true" t="shared" si="33" ref="E83:F84">E84</f>
        <v>0</v>
      </c>
      <c r="F83" s="49">
        <f t="shared" si="33"/>
        <v>0</v>
      </c>
    </row>
    <row r="84" spans="1:6" ht="31.5">
      <c r="A84" s="61">
        <v>1120220030</v>
      </c>
      <c r="B84" s="61" t="s">
        <v>112</v>
      </c>
      <c r="C84" s="60" t="s">
        <v>113</v>
      </c>
      <c r="D84" s="49">
        <f>D85</f>
        <v>391.6</v>
      </c>
      <c r="E84" s="49">
        <f t="shared" si="33"/>
        <v>0</v>
      </c>
      <c r="F84" s="49">
        <f t="shared" si="33"/>
        <v>0</v>
      </c>
    </row>
    <row r="85" spans="1:6" ht="12.75">
      <c r="A85" s="61">
        <v>1120220030</v>
      </c>
      <c r="B85" s="59">
        <v>610</v>
      </c>
      <c r="C85" s="60" t="s">
        <v>130</v>
      </c>
      <c r="D85" s="49">
        <f>'№5 '!E447</f>
        <v>391.6</v>
      </c>
      <c r="E85" s="49">
        <f>'№5 '!F447</f>
        <v>0</v>
      </c>
      <c r="F85" s="49">
        <f>'№5 '!G447</f>
        <v>0</v>
      </c>
    </row>
    <row r="86" spans="1:6" ht="31.5">
      <c r="A86" s="68" t="s">
        <v>340</v>
      </c>
      <c r="B86" s="68"/>
      <c r="C86" s="69" t="s">
        <v>341</v>
      </c>
      <c r="D86" s="49">
        <f>D87</f>
        <v>426</v>
      </c>
      <c r="E86" s="49">
        <f aca="true" t="shared" si="34" ref="E86:F87">E87</f>
        <v>0</v>
      </c>
      <c r="F86" s="49">
        <f t="shared" si="34"/>
        <v>0</v>
      </c>
    </row>
    <row r="87" spans="1:6" ht="31.5">
      <c r="A87" s="68" t="s">
        <v>340</v>
      </c>
      <c r="B87" s="70" t="s">
        <v>112</v>
      </c>
      <c r="C87" s="69" t="s">
        <v>113</v>
      </c>
      <c r="D87" s="49">
        <f>D88</f>
        <v>426</v>
      </c>
      <c r="E87" s="49">
        <f t="shared" si="34"/>
        <v>0</v>
      </c>
      <c r="F87" s="49">
        <f t="shared" si="34"/>
        <v>0</v>
      </c>
    </row>
    <row r="88" spans="1:6" ht="12.75">
      <c r="A88" s="68" t="s">
        <v>340</v>
      </c>
      <c r="B88" s="68">
        <v>610</v>
      </c>
      <c r="C88" s="69" t="s">
        <v>130</v>
      </c>
      <c r="D88" s="49">
        <f>'№5 '!E450</f>
        <v>426</v>
      </c>
      <c r="E88" s="49">
        <f>'№5 '!F450</f>
        <v>0</v>
      </c>
      <c r="F88" s="49">
        <f>'№5 '!G450</f>
        <v>0</v>
      </c>
    </row>
    <row r="89" spans="1:6" ht="31.5">
      <c r="A89" s="61">
        <v>1130000000</v>
      </c>
      <c r="B89" s="31"/>
      <c r="C89" s="31" t="s">
        <v>142</v>
      </c>
      <c r="D89" s="49">
        <f>D90+D102+D106+D110</f>
        <v>961.1</v>
      </c>
      <c r="E89" s="49">
        <f aca="true" t="shared" si="35" ref="E89:F89">E90+E102+E106+E110</f>
        <v>785.1999999999999</v>
      </c>
      <c r="F89" s="49">
        <f t="shared" si="35"/>
        <v>785.1999999999999</v>
      </c>
    </row>
    <row r="90" spans="1:6" ht="31.5">
      <c r="A90" s="59">
        <v>1130100000</v>
      </c>
      <c r="B90" s="31"/>
      <c r="C90" s="31" t="s">
        <v>293</v>
      </c>
      <c r="D90" s="49">
        <f>D91+D99+D96</f>
        <v>367.9</v>
      </c>
      <c r="E90" s="49">
        <f aca="true" t="shared" si="36" ref="E90:F90">E91+E99+E96</f>
        <v>259.9</v>
      </c>
      <c r="F90" s="49">
        <f t="shared" si="36"/>
        <v>259.9</v>
      </c>
    </row>
    <row r="91" spans="1:6" ht="31.5">
      <c r="A91" s="61">
        <v>1130120260</v>
      </c>
      <c r="B91" s="31"/>
      <c r="C91" s="31" t="s">
        <v>295</v>
      </c>
      <c r="D91" s="49">
        <f>D92+D94</f>
        <v>259.9</v>
      </c>
      <c r="E91" s="49">
        <f aca="true" t="shared" si="37" ref="E91:F91">E92+E94</f>
        <v>259.9</v>
      </c>
      <c r="F91" s="49">
        <f t="shared" si="37"/>
        <v>259.9</v>
      </c>
    </row>
    <row r="92" spans="1:6" ht="31.5">
      <c r="A92" s="61">
        <v>1130120260</v>
      </c>
      <c r="B92" s="59" t="s">
        <v>75</v>
      </c>
      <c r="C92" s="31" t="s">
        <v>110</v>
      </c>
      <c r="D92" s="49">
        <f>D93</f>
        <v>169.59999999999997</v>
      </c>
      <c r="E92" s="49">
        <f aca="true" t="shared" si="38" ref="E92:F92">E93</f>
        <v>169.59999999999997</v>
      </c>
      <c r="F92" s="49">
        <f t="shared" si="38"/>
        <v>169.59999999999997</v>
      </c>
    </row>
    <row r="93" spans="1:6" ht="33.6" customHeight="1">
      <c r="A93" s="61">
        <v>1130120260</v>
      </c>
      <c r="B93" s="59">
        <v>240</v>
      </c>
      <c r="C93" s="31" t="s">
        <v>469</v>
      </c>
      <c r="D93" s="49">
        <f>'№5 '!E511</f>
        <v>169.59999999999997</v>
      </c>
      <c r="E93" s="49">
        <f>'№5 '!F511</f>
        <v>169.59999999999997</v>
      </c>
      <c r="F93" s="49">
        <f>'№5 '!G511</f>
        <v>169.59999999999997</v>
      </c>
    </row>
    <row r="94" spans="1:6" ht="21" customHeight="1">
      <c r="A94" s="61">
        <v>1130120260</v>
      </c>
      <c r="B94" s="1" t="s">
        <v>79</v>
      </c>
      <c r="C94" s="37" t="s">
        <v>80</v>
      </c>
      <c r="D94" s="49">
        <f>D95</f>
        <v>90.3</v>
      </c>
      <c r="E94" s="49">
        <f aca="true" t="shared" si="39" ref="E94:F94">E95</f>
        <v>90.3</v>
      </c>
      <c r="F94" s="49">
        <f t="shared" si="39"/>
        <v>90.3</v>
      </c>
    </row>
    <row r="95" spans="1:6" ht="15" customHeight="1">
      <c r="A95" s="61">
        <v>1130120260</v>
      </c>
      <c r="B95" s="59">
        <v>350</v>
      </c>
      <c r="C95" s="60" t="s">
        <v>204</v>
      </c>
      <c r="D95" s="49">
        <f>'№5 '!E513</f>
        <v>90.3</v>
      </c>
      <c r="E95" s="49">
        <f>'№5 '!F513</f>
        <v>90.3</v>
      </c>
      <c r="F95" s="49">
        <f>'№5 '!G513</f>
        <v>90.3</v>
      </c>
    </row>
    <row r="96" spans="1:6" ht="78.75">
      <c r="A96" s="59">
        <v>1130110660</v>
      </c>
      <c r="B96" s="59"/>
      <c r="C96" s="60" t="s">
        <v>321</v>
      </c>
      <c r="D96" s="49">
        <f>D97</f>
        <v>97.2</v>
      </c>
      <c r="E96" s="49">
        <f aca="true" t="shared" si="40" ref="E96:F97">E97</f>
        <v>0</v>
      </c>
      <c r="F96" s="49">
        <f t="shared" si="40"/>
        <v>0</v>
      </c>
    </row>
    <row r="97" spans="1:6" ht="31.5">
      <c r="A97" s="59">
        <v>1130110660</v>
      </c>
      <c r="B97" s="61" t="s">
        <v>112</v>
      </c>
      <c r="C97" s="60" t="s">
        <v>113</v>
      </c>
      <c r="D97" s="49">
        <f>D98</f>
        <v>97.2</v>
      </c>
      <c r="E97" s="49">
        <f t="shared" si="40"/>
        <v>0</v>
      </c>
      <c r="F97" s="49">
        <f t="shared" si="40"/>
        <v>0</v>
      </c>
    </row>
    <row r="98" spans="1:6" ht="12.75">
      <c r="A98" s="59">
        <v>1130110660</v>
      </c>
      <c r="B98" s="59">
        <v>610</v>
      </c>
      <c r="C98" s="60" t="s">
        <v>130</v>
      </c>
      <c r="D98" s="49">
        <f>'№5 '!E406</f>
        <v>97.2</v>
      </c>
      <c r="E98" s="49">
        <f>'№5 '!F406</f>
        <v>0</v>
      </c>
      <c r="F98" s="49">
        <f>'№5 '!G406</f>
        <v>0</v>
      </c>
    </row>
    <row r="99" spans="1:6" ht="65.45" customHeight="1">
      <c r="A99" s="59" t="s">
        <v>294</v>
      </c>
      <c r="B99" s="59"/>
      <c r="C99" s="60" t="s">
        <v>322</v>
      </c>
      <c r="D99" s="49">
        <f>D100</f>
        <v>10.799999999999999</v>
      </c>
      <c r="E99" s="49">
        <f aca="true" t="shared" si="41" ref="E99:F100">E100</f>
        <v>0</v>
      </c>
      <c r="F99" s="49">
        <f t="shared" si="41"/>
        <v>0</v>
      </c>
    </row>
    <row r="100" spans="1:6" ht="33.6" customHeight="1">
      <c r="A100" s="59" t="s">
        <v>294</v>
      </c>
      <c r="B100" s="61" t="s">
        <v>112</v>
      </c>
      <c r="C100" s="60" t="s">
        <v>113</v>
      </c>
      <c r="D100" s="49">
        <f>D101</f>
        <v>10.799999999999999</v>
      </c>
      <c r="E100" s="49">
        <f t="shared" si="41"/>
        <v>0</v>
      </c>
      <c r="F100" s="49">
        <f t="shared" si="41"/>
        <v>0</v>
      </c>
    </row>
    <row r="101" spans="1:6" ht="16.15" customHeight="1">
      <c r="A101" s="59" t="s">
        <v>294</v>
      </c>
      <c r="B101" s="59">
        <v>610</v>
      </c>
      <c r="C101" s="60" t="s">
        <v>130</v>
      </c>
      <c r="D101" s="49">
        <f>'№5 '!E409</f>
        <v>10.799999999999999</v>
      </c>
      <c r="E101" s="49">
        <f>'№5 '!F409</f>
        <v>0</v>
      </c>
      <c r="F101" s="49">
        <f>'№5 '!G409</f>
        <v>0</v>
      </c>
    </row>
    <row r="102" spans="1:6" ht="31.5">
      <c r="A102" s="59">
        <v>1130200000</v>
      </c>
      <c r="B102" s="59"/>
      <c r="C102" s="31" t="s">
        <v>239</v>
      </c>
      <c r="D102" s="49">
        <f>D103</f>
        <v>158.8</v>
      </c>
      <c r="E102" s="49">
        <f aca="true" t="shared" si="42" ref="E102:F102">E103</f>
        <v>160.8</v>
      </c>
      <c r="F102" s="49">
        <f t="shared" si="42"/>
        <v>160.8</v>
      </c>
    </row>
    <row r="103" spans="1:6" ht="31.5">
      <c r="A103" s="59">
        <v>1130220270</v>
      </c>
      <c r="B103" s="59"/>
      <c r="C103" s="31" t="s">
        <v>240</v>
      </c>
      <c r="D103" s="49">
        <f>D104</f>
        <v>158.8</v>
      </c>
      <c r="E103" s="49">
        <f aca="true" t="shared" si="43" ref="E103:F104">E104</f>
        <v>160.8</v>
      </c>
      <c r="F103" s="49">
        <f t="shared" si="43"/>
        <v>160.8</v>
      </c>
    </row>
    <row r="104" spans="1:6" ht="31.5">
      <c r="A104" s="59">
        <v>1130220270</v>
      </c>
      <c r="B104" s="59" t="s">
        <v>75</v>
      </c>
      <c r="C104" s="31" t="s">
        <v>110</v>
      </c>
      <c r="D104" s="49">
        <f>D105</f>
        <v>158.8</v>
      </c>
      <c r="E104" s="49">
        <f t="shared" si="43"/>
        <v>160.8</v>
      </c>
      <c r="F104" s="49">
        <f t="shared" si="43"/>
        <v>160.8</v>
      </c>
    </row>
    <row r="105" spans="1:6" ht="35.45" customHeight="1">
      <c r="A105" s="59">
        <v>1130220270</v>
      </c>
      <c r="B105" s="59">
        <v>240</v>
      </c>
      <c r="C105" s="31" t="s">
        <v>469</v>
      </c>
      <c r="D105" s="49">
        <f>'№5 '!E517+'№5 '!E485</f>
        <v>158.8</v>
      </c>
      <c r="E105" s="49">
        <f>'№5 '!F517+'№5 '!F485</f>
        <v>160.8</v>
      </c>
      <c r="F105" s="49">
        <f>'№5 '!G517+'№5 '!G485</f>
        <v>160.8</v>
      </c>
    </row>
    <row r="106" spans="1:6" ht="47.25">
      <c r="A106" s="61">
        <v>1130300000</v>
      </c>
      <c r="B106" s="31"/>
      <c r="C106" s="31" t="s">
        <v>143</v>
      </c>
      <c r="D106" s="49">
        <f>D107</f>
        <v>366.9</v>
      </c>
      <c r="E106" s="49">
        <f aca="true" t="shared" si="44" ref="E106:F108">E107</f>
        <v>294.7</v>
      </c>
      <c r="F106" s="49">
        <f t="shared" si="44"/>
        <v>294.7</v>
      </c>
    </row>
    <row r="107" spans="1:6" ht="31.5">
      <c r="A107" s="61">
        <v>1130320280</v>
      </c>
      <c r="B107" s="31"/>
      <c r="C107" s="31" t="s">
        <v>144</v>
      </c>
      <c r="D107" s="49">
        <f>D108</f>
        <v>366.9</v>
      </c>
      <c r="E107" s="49">
        <f t="shared" si="44"/>
        <v>294.7</v>
      </c>
      <c r="F107" s="49">
        <f t="shared" si="44"/>
        <v>294.7</v>
      </c>
    </row>
    <row r="108" spans="1:6" ht="31.5">
      <c r="A108" s="61">
        <v>1130320280</v>
      </c>
      <c r="B108" s="61" t="s">
        <v>112</v>
      </c>
      <c r="C108" s="60" t="s">
        <v>113</v>
      </c>
      <c r="D108" s="49">
        <f>D109</f>
        <v>366.9</v>
      </c>
      <c r="E108" s="49">
        <f t="shared" si="44"/>
        <v>294.7</v>
      </c>
      <c r="F108" s="49">
        <f t="shared" si="44"/>
        <v>294.7</v>
      </c>
    </row>
    <row r="109" spans="1:6" ht="12.75">
      <c r="A109" s="61">
        <v>1130320280</v>
      </c>
      <c r="B109" s="59">
        <v>610</v>
      </c>
      <c r="C109" s="60" t="s">
        <v>130</v>
      </c>
      <c r="D109" s="49">
        <f>'№5 '!E201</f>
        <v>366.9</v>
      </c>
      <c r="E109" s="49">
        <f>'№5 '!F201</f>
        <v>294.7</v>
      </c>
      <c r="F109" s="49">
        <f>'№5 '!G201</f>
        <v>294.7</v>
      </c>
    </row>
    <row r="110" spans="1:6" ht="31.5">
      <c r="A110" s="59">
        <v>1130400000</v>
      </c>
      <c r="B110" s="59"/>
      <c r="C110" s="31" t="s">
        <v>181</v>
      </c>
      <c r="D110" s="49">
        <f>D111</f>
        <v>67.5</v>
      </c>
      <c r="E110" s="49">
        <f aca="true" t="shared" si="45" ref="E110:F112">E111</f>
        <v>69.8</v>
      </c>
      <c r="F110" s="49">
        <f t="shared" si="45"/>
        <v>69.8</v>
      </c>
    </row>
    <row r="111" spans="1:6" ht="31.5">
      <c r="A111" s="59">
        <v>1130420290</v>
      </c>
      <c r="B111" s="59"/>
      <c r="C111" s="31" t="s">
        <v>182</v>
      </c>
      <c r="D111" s="49">
        <f>D112</f>
        <v>67.5</v>
      </c>
      <c r="E111" s="49">
        <f t="shared" si="45"/>
        <v>69.8</v>
      </c>
      <c r="F111" s="49">
        <f t="shared" si="45"/>
        <v>69.8</v>
      </c>
    </row>
    <row r="112" spans="1:6" ht="31.5">
      <c r="A112" s="59">
        <v>1130420290</v>
      </c>
      <c r="B112" s="61" t="s">
        <v>112</v>
      </c>
      <c r="C112" s="60" t="s">
        <v>113</v>
      </c>
      <c r="D112" s="49">
        <f>D113</f>
        <v>67.5</v>
      </c>
      <c r="E112" s="49">
        <f t="shared" si="45"/>
        <v>69.8</v>
      </c>
      <c r="F112" s="49">
        <f t="shared" si="45"/>
        <v>69.8</v>
      </c>
    </row>
    <row r="113" spans="1:6" ht="12.75">
      <c r="A113" s="59">
        <v>1130420290</v>
      </c>
      <c r="B113" s="59">
        <v>610</v>
      </c>
      <c r="C113" s="60" t="s">
        <v>130</v>
      </c>
      <c r="D113" s="49">
        <f>'№5 '!E489</f>
        <v>67.5</v>
      </c>
      <c r="E113" s="49">
        <f>'№5 '!F489</f>
        <v>69.8</v>
      </c>
      <c r="F113" s="49">
        <f>'№5 '!G489</f>
        <v>69.8</v>
      </c>
    </row>
    <row r="114" spans="1:6" s="46" customFormat="1" ht="47.25">
      <c r="A114" s="40">
        <v>1200000000</v>
      </c>
      <c r="B114" s="19"/>
      <c r="C114" s="20" t="s">
        <v>242</v>
      </c>
      <c r="D114" s="48">
        <f>D115+D133+D156+D202</f>
        <v>65629.59999999999</v>
      </c>
      <c r="E114" s="48">
        <f>E115+E133+E156+E202</f>
        <v>48372.600000000006</v>
      </c>
      <c r="F114" s="48">
        <f>F115+F133+F156+F202</f>
        <v>48372.600000000006</v>
      </c>
    </row>
    <row r="115" spans="1:6" ht="21.6" customHeight="1">
      <c r="A115" s="61">
        <v>1210000000</v>
      </c>
      <c r="B115" s="59"/>
      <c r="C115" s="60" t="s">
        <v>258</v>
      </c>
      <c r="D115" s="53">
        <f>D116+D126</f>
        <v>12654.400000000001</v>
      </c>
      <c r="E115" s="53">
        <f>E116+E126</f>
        <v>9867.1</v>
      </c>
      <c r="F115" s="53">
        <f>F116+F126</f>
        <v>9867.1</v>
      </c>
    </row>
    <row r="116" spans="1:6" ht="31.5">
      <c r="A116" s="61">
        <v>1210100000</v>
      </c>
      <c r="B116" s="59"/>
      <c r="C116" s="60" t="s">
        <v>259</v>
      </c>
      <c r="D116" s="49">
        <f>D120+D117+D123</f>
        <v>12546.7</v>
      </c>
      <c r="E116" s="49">
        <f aca="true" t="shared" si="46" ref="E116:F116">E120+E117+E123</f>
        <v>9787.1</v>
      </c>
      <c r="F116" s="49">
        <f t="shared" si="46"/>
        <v>9787.1</v>
      </c>
    </row>
    <row r="117" spans="1:6" ht="47.25">
      <c r="A117" s="61">
        <v>1210110680</v>
      </c>
      <c r="B117" s="59"/>
      <c r="C117" s="65" t="s">
        <v>324</v>
      </c>
      <c r="D117" s="28">
        <f>D118</f>
        <v>3009.9999999999995</v>
      </c>
      <c r="E117" s="28">
        <f aca="true" t="shared" si="47" ref="E117:F118">E118</f>
        <v>0</v>
      </c>
      <c r="F117" s="28">
        <f t="shared" si="47"/>
        <v>0</v>
      </c>
    </row>
    <row r="118" spans="1:6" ht="31.5">
      <c r="A118" s="61">
        <v>1210110680</v>
      </c>
      <c r="B118" s="61" t="s">
        <v>112</v>
      </c>
      <c r="C118" s="60" t="s">
        <v>113</v>
      </c>
      <c r="D118" s="28">
        <f>D119</f>
        <v>3009.9999999999995</v>
      </c>
      <c r="E118" s="28">
        <f t="shared" si="47"/>
        <v>0</v>
      </c>
      <c r="F118" s="28">
        <f t="shared" si="47"/>
        <v>0</v>
      </c>
    </row>
    <row r="119" spans="1:6" ht="12.75">
      <c r="A119" s="61">
        <v>1210110680</v>
      </c>
      <c r="B119" s="59">
        <v>610</v>
      </c>
      <c r="C119" s="60" t="s">
        <v>130</v>
      </c>
      <c r="D119" s="28">
        <f>'№5 '!E538</f>
        <v>3009.9999999999995</v>
      </c>
      <c r="E119" s="28">
        <f>'№5 '!F538</f>
        <v>0</v>
      </c>
      <c r="F119" s="28">
        <f>'№5 '!G538</f>
        <v>0</v>
      </c>
    </row>
    <row r="120" spans="1:6" ht="31.5">
      <c r="A120" s="61">
        <v>1210120010</v>
      </c>
      <c r="B120" s="59"/>
      <c r="C120" s="60" t="s">
        <v>151</v>
      </c>
      <c r="D120" s="49">
        <f>D121</f>
        <v>9504.2</v>
      </c>
      <c r="E120" s="49">
        <f aca="true" t="shared" si="48" ref="E120:F121">E121</f>
        <v>9787.1</v>
      </c>
      <c r="F120" s="49">
        <f t="shared" si="48"/>
        <v>9787.1</v>
      </c>
    </row>
    <row r="121" spans="1:6" ht="31.5">
      <c r="A121" s="61">
        <v>1210120010</v>
      </c>
      <c r="B121" s="61" t="s">
        <v>112</v>
      </c>
      <c r="C121" s="60" t="s">
        <v>113</v>
      </c>
      <c r="D121" s="49">
        <f>D122</f>
        <v>9504.2</v>
      </c>
      <c r="E121" s="49">
        <f t="shared" si="48"/>
        <v>9787.1</v>
      </c>
      <c r="F121" s="49">
        <f t="shared" si="48"/>
        <v>9787.1</v>
      </c>
    </row>
    <row r="122" spans="1:6" ht="12.75">
      <c r="A122" s="61">
        <v>1210120010</v>
      </c>
      <c r="B122" s="59">
        <v>610</v>
      </c>
      <c r="C122" s="60" t="s">
        <v>130</v>
      </c>
      <c r="D122" s="49">
        <f>'№5 '!E541</f>
        <v>9504.2</v>
      </c>
      <c r="E122" s="49">
        <f>'№5 '!F541</f>
        <v>9787.1</v>
      </c>
      <c r="F122" s="49">
        <f>'№5 '!G541</f>
        <v>9787.1</v>
      </c>
    </row>
    <row r="123" spans="1:6" ht="30" customHeight="1">
      <c r="A123" s="61" t="s">
        <v>314</v>
      </c>
      <c r="B123" s="59"/>
      <c r="C123" s="65" t="s">
        <v>323</v>
      </c>
      <c r="D123" s="28">
        <f>D124</f>
        <v>32.5</v>
      </c>
      <c r="E123" s="28">
        <f aca="true" t="shared" si="49" ref="E123:F124">E124</f>
        <v>0</v>
      </c>
      <c r="F123" s="28">
        <f t="shared" si="49"/>
        <v>0</v>
      </c>
    </row>
    <row r="124" spans="1:6" ht="31.5">
      <c r="A124" s="61" t="s">
        <v>314</v>
      </c>
      <c r="B124" s="61" t="s">
        <v>112</v>
      </c>
      <c r="C124" s="60" t="s">
        <v>113</v>
      </c>
      <c r="D124" s="28">
        <f>D125</f>
        <v>32.5</v>
      </c>
      <c r="E124" s="28">
        <f t="shared" si="49"/>
        <v>0</v>
      </c>
      <c r="F124" s="28">
        <f t="shared" si="49"/>
        <v>0</v>
      </c>
    </row>
    <row r="125" spans="1:6" ht="12.75">
      <c r="A125" s="61" t="s">
        <v>314</v>
      </c>
      <c r="B125" s="59">
        <v>610</v>
      </c>
      <c r="C125" s="60" t="s">
        <v>130</v>
      </c>
      <c r="D125" s="28">
        <f>'№5 '!E544</f>
        <v>32.5</v>
      </c>
      <c r="E125" s="28">
        <f>'№5 '!F544</f>
        <v>0</v>
      </c>
      <c r="F125" s="28">
        <f>'№5 '!G544</f>
        <v>0</v>
      </c>
    </row>
    <row r="126" spans="1:6" ht="31.5">
      <c r="A126" s="61">
        <v>1210300000</v>
      </c>
      <c r="B126" s="59"/>
      <c r="C126" s="60" t="s">
        <v>260</v>
      </c>
      <c r="D126" s="49">
        <f>D130+D127</f>
        <v>107.7</v>
      </c>
      <c r="E126" s="49">
        <f aca="true" t="shared" si="50" ref="E126:F126">E130+E127</f>
        <v>80</v>
      </c>
      <c r="F126" s="49">
        <f t="shared" si="50"/>
        <v>80</v>
      </c>
    </row>
    <row r="127" spans="1:6" ht="31.5">
      <c r="A127" s="94">
        <v>1210320030</v>
      </c>
      <c r="B127" s="92"/>
      <c r="C127" s="93" t="s">
        <v>292</v>
      </c>
      <c r="D127" s="49">
        <f>D128</f>
        <v>32.7</v>
      </c>
      <c r="E127" s="49">
        <f aca="true" t="shared" si="51" ref="E127:F128">E128</f>
        <v>0</v>
      </c>
      <c r="F127" s="49">
        <f t="shared" si="51"/>
        <v>0</v>
      </c>
    </row>
    <row r="128" spans="1:6" ht="31.5">
      <c r="A128" s="94">
        <v>1210320030</v>
      </c>
      <c r="B128" s="94" t="s">
        <v>112</v>
      </c>
      <c r="C128" s="93" t="s">
        <v>113</v>
      </c>
      <c r="D128" s="49">
        <f>D129</f>
        <v>32.7</v>
      </c>
      <c r="E128" s="49">
        <f t="shared" si="51"/>
        <v>0</v>
      </c>
      <c r="F128" s="49">
        <f t="shared" si="51"/>
        <v>0</v>
      </c>
    </row>
    <row r="129" spans="1:6" ht="12.75">
      <c r="A129" s="94">
        <v>1210320030</v>
      </c>
      <c r="B129" s="92">
        <v>610</v>
      </c>
      <c r="C129" s="93" t="s">
        <v>130</v>
      </c>
      <c r="D129" s="49">
        <f>'№5 '!E548</f>
        <v>32.7</v>
      </c>
      <c r="E129" s="49">
        <f>'№5 '!F548</f>
        <v>0</v>
      </c>
      <c r="F129" s="49">
        <f>'№5 '!G548</f>
        <v>0</v>
      </c>
    </row>
    <row r="130" spans="1:6" ht="12.75">
      <c r="A130" s="59" t="s">
        <v>183</v>
      </c>
      <c r="B130" s="59"/>
      <c r="C130" s="69" t="s">
        <v>352</v>
      </c>
      <c r="D130" s="49">
        <f>D131</f>
        <v>75</v>
      </c>
      <c r="E130" s="49">
        <f aca="true" t="shared" si="52" ref="E130:F131">E131</f>
        <v>80</v>
      </c>
      <c r="F130" s="49">
        <f t="shared" si="52"/>
        <v>80</v>
      </c>
    </row>
    <row r="131" spans="1:6" ht="31.5">
      <c r="A131" s="59" t="s">
        <v>183</v>
      </c>
      <c r="B131" s="61" t="s">
        <v>112</v>
      </c>
      <c r="C131" s="60" t="s">
        <v>113</v>
      </c>
      <c r="D131" s="49">
        <f>D132</f>
        <v>75</v>
      </c>
      <c r="E131" s="49">
        <f t="shared" si="52"/>
        <v>80</v>
      </c>
      <c r="F131" s="49">
        <f t="shared" si="52"/>
        <v>80</v>
      </c>
    </row>
    <row r="132" spans="1:6" ht="12.75">
      <c r="A132" s="59" t="s">
        <v>183</v>
      </c>
      <c r="B132" s="59">
        <v>610</v>
      </c>
      <c r="C132" s="60" t="s">
        <v>130</v>
      </c>
      <c r="D132" s="49">
        <f>'№5 '!E551</f>
        <v>75</v>
      </c>
      <c r="E132" s="49">
        <f>'№5 '!F551</f>
        <v>80</v>
      </c>
      <c r="F132" s="49">
        <f>'№5 '!G551</f>
        <v>80</v>
      </c>
    </row>
    <row r="133" spans="1:6" ht="31.5">
      <c r="A133" s="61">
        <v>1220000000</v>
      </c>
      <c r="B133" s="59"/>
      <c r="C133" s="60" t="s">
        <v>184</v>
      </c>
      <c r="D133" s="49">
        <f>D134+D148+D152+D144</f>
        <v>24508.199999999997</v>
      </c>
      <c r="E133" s="49">
        <f>E134+E148+E152+E144</f>
        <v>19480.8</v>
      </c>
      <c r="F133" s="49">
        <f>F134+F148+F152+F144</f>
        <v>19480.8</v>
      </c>
    </row>
    <row r="134" spans="1:6" ht="31.5">
      <c r="A134" s="59">
        <v>1220100000</v>
      </c>
      <c r="B134" s="59"/>
      <c r="C134" s="60" t="s">
        <v>261</v>
      </c>
      <c r="D134" s="49">
        <f>D138+D135+D141</f>
        <v>24414.999999999996</v>
      </c>
      <c r="E134" s="49">
        <f aca="true" t="shared" si="53" ref="E134:F134">E138+E135+E141</f>
        <v>19446.5</v>
      </c>
      <c r="F134" s="49">
        <f t="shared" si="53"/>
        <v>19446.5</v>
      </c>
    </row>
    <row r="135" spans="1:6" ht="47.25">
      <c r="A135" s="59">
        <v>1220110680</v>
      </c>
      <c r="B135" s="59"/>
      <c r="C135" s="65" t="s">
        <v>324</v>
      </c>
      <c r="D135" s="49">
        <f>D136</f>
        <v>4396.5</v>
      </c>
      <c r="E135" s="49">
        <f aca="true" t="shared" si="54" ref="E135:F136">E136</f>
        <v>0</v>
      </c>
      <c r="F135" s="49">
        <f t="shared" si="54"/>
        <v>0</v>
      </c>
    </row>
    <row r="136" spans="1:6" ht="31.5">
      <c r="A136" s="59">
        <v>1220110680</v>
      </c>
      <c r="B136" s="61" t="s">
        <v>112</v>
      </c>
      <c r="C136" s="60" t="s">
        <v>113</v>
      </c>
      <c r="D136" s="49">
        <f>D137</f>
        <v>4396.5</v>
      </c>
      <c r="E136" s="49">
        <f t="shared" si="54"/>
        <v>0</v>
      </c>
      <c r="F136" s="49">
        <f t="shared" si="54"/>
        <v>0</v>
      </c>
    </row>
    <row r="137" spans="1:6" ht="12.75">
      <c r="A137" s="59">
        <v>1220110680</v>
      </c>
      <c r="B137" s="59">
        <v>610</v>
      </c>
      <c r="C137" s="60" t="s">
        <v>130</v>
      </c>
      <c r="D137" s="49">
        <f>'№5 '!E556</f>
        <v>4396.5</v>
      </c>
      <c r="E137" s="49">
        <f>'№5 '!F556</f>
        <v>0</v>
      </c>
      <c r="F137" s="49">
        <f>'№5 '!G556</f>
        <v>0</v>
      </c>
    </row>
    <row r="138" spans="1:6" ht="31.5">
      <c r="A138" s="59">
        <v>1220120010</v>
      </c>
      <c r="B138" s="59"/>
      <c r="C138" s="60" t="s">
        <v>151</v>
      </c>
      <c r="D138" s="49">
        <f>D139</f>
        <v>19976.899999999998</v>
      </c>
      <c r="E138" s="49">
        <f aca="true" t="shared" si="55" ref="E138:F139">E139</f>
        <v>19446.5</v>
      </c>
      <c r="F138" s="49">
        <f t="shared" si="55"/>
        <v>19446.5</v>
      </c>
    </row>
    <row r="139" spans="1:6" ht="31.5">
      <c r="A139" s="59">
        <v>1220120010</v>
      </c>
      <c r="B139" s="61" t="s">
        <v>112</v>
      </c>
      <c r="C139" s="60" t="s">
        <v>113</v>
      </c>
      <c r="D139" s="49">
        <f>D140</f>
        <v>19976.899999999998</v>
      </c>
      <c r="E139" s="49">
        <f t="shared" si="55"/>
        <v>19446.5</v>
      </c>
      <c r="F139" s="49">
        <f t="shared" si="55"/>
        <v>19446.5</v>
      </c>
    </row>
    <row r="140" spans="1:6" ht="12.75">
      <c r="A140" s="59">
        <v>1220120010</v>
      </c>
      <c r="B140" s="59">
        <v>610</v>
      </c>
      <c r="C140" s="60" t="s">
        <v>130</v>
      </c>
      <c r="D140" s="49">
        <f>'№5 '!E559</f>
        <v>19976.899999999998</v>
      </c>
      <c r="E140" s="49">
        <f>'№5 '!F559</f>
        <v>19446.5</v>
      </c>
      <c r="F140" s="49">
        <f>'№5 '!G559</f>
        <v>19446.5</v>
      </c>
    </row>
    <row r="141" spans="1:6" ht="30" customHeight="1">
      <c r="A141" s="59" t="s">
        <v>315</v>
      </c>
      <c r="B141" s="59"/>
      <c r="C141" s="65" t="s">
        <v>323</v>
      </c>
      <c r="D141" s="49">
        <f>D142</f>
        <v>41.599999999999994</v>
      </c>
      <c r="E141" s="49">
        <f aca="true" t="shared" si="56" ref="E141:F142">E142</f>
        <v>0</v>
      </c>
      <c r="F141" s="49">
        <f t="shared" si="56"/>
        <v>0</v>
      </c>
    </row>
    <row r="142" spans="1:6" ht="31.5">
      <c r="A142" s="59" t="s">
        <v>315</v>
      </c>
      <c r="B142" s="61" t="s">
        <v>112</v>
      </c>
      <c r="C142" s="60" t="s">
        <v>113</v>
      </c>
      <c r="D142" s="49">
        <f>D143</f>
        <v>41.599999999999994</v>
      </c>
      <c r="E142" s="49">
        <f t="shared" si="56"/>
        <v>0</v>
      </c>
      <c r="F142" s="49">
        <f t="shared" si="56"/>
        <v>0</v>
      </c>
    </row>
    <row r="143" spans="1:6" ht="12.75">
      <c r="A143" s="59" t="s">
        <v>315</v>
      </c>
      <c r="B143" s="59">
        <v>610</v>
      </c>
      <c r="C143" s="60" t="s">
        <v>130</v>
      </c>
      <c r="D143" s="49">
        <f>'№5 '!E562</f>
        <v>41.599999999999994</v>
      </c>
      <c r="E143" s="49">
        <f>'№5 '!F562</f>
        <v>0</v>
      </c>
      <c r="F143" s="49">
        <f>'№5 '!G562</f>
        <v>0</v>
      </c>
    </row>
    <row r="144" spans="1:6" ht="47.25">
      <c r="A144" s="68">
        <v>1220300000</v>
      </c>
      <c r="B144" s="68"/>
      <c r="C144" s="69" t="s">
        <v>334</v>
      </c>
      <c r="D144" s="49">
        <f>D145</f>
        <v>36</v>
      </c>
      <c r="E144" s="49">
        <f aca="true" t="shared" si="57" ref="E144:F146">E145</f>
        <v>0</v>
      </c>
      <c r="F144" s="49">
        <f t="shared" si="57"/>
        <v>0</v>
      </c>
    </row>
    <row r="145" spans="1:6" ht="31.5">
      <c r="A145" s="68" t="s">
        <v>335</v>
      </c>
      <c r="B145" s="68"/>
      <c r="C145" s="83" t="s">
        <v>353</v>
      </c>
      <c r="D145" s="49">
        <f>D146</f>
        <v>36</v>
      </c>
      <c r="E145" s="49">
        <f t="shared" si="57"/>
        <v>0</v>
      </c>
      <c r="F145" s="49">
        <f t="shared" si="57"/>
        <v>0</v>
      </c>
    </row>
    <row r="146" spans="1:6" ht="31.5">
      <c r="A146" s="68" t="s">
        <v>335</v>
      </c>
      <c r="B146" s="70" t="s">
        <v>112</v>
      </c>
      <c r="C146" s="69" t="s">
        <v>113</v>
      </c>
      <c r="D146" s="49">
        <f>D147</f>
        <v>36</v>
      </c>
      <c r="E146" s="49">
        <f t="shared" si="57"/>
        <v>0</v>
      </c>
      <c r="F146" s="49">
        <f t="shared" si="57"/>
        <v>0</v>
      </c>
    </row>
    <row r="147" spans="1:6" ht="12.75">
      <c r="A147" s="68" t="s">
        <v>335</v>
      </c>
      <c r="B147" s="68">
        <v>610</v>
      </c>
      <c r="C147" s="69" t="s">
        <v>130</v>
      </c>
      <c r="D147" s="49">
        <f>'№5 '!E566</f>
        <v>36</v>
      </c>
      <c r="E147" s="49">
        <f>'№5 '!F566</f>
        <v>0</v>
      </c>
      <c r="F147" s="49">
        <f>'№5 '!G566</f>
        <v>0</v>
      </c>
    </row>
    <row r="148" spans="1:6" ht="31.5">
      <c r="A148" s="59">
        <v>1220400000</v>
      </c>
      <c r="B148" s="59"/>
      <c r="C148" s="60" t="s">
        <v>262</v>
      </c>
      <c r="D148" s="49">
        <f>D149</f>
        <v>24</v>
      </c>
      <c r="E148" s="49">
        <f aca="true" t="shared" si="58" ref="E148:F150">E149</f>
        <v>0</v>
      </c>
      <c r="F148" s="49">
        <f t="shared" si="58"/>
        <v>0</v>
      </c>
    </row>
    <row r="149" spans="1:6" ht="31.5">
      <c r="A149" s="59">
        <v>1220420450</v>
      </c>
      <c r="B149" s="59"/>
      <c r="C149" s="60" t="s">
        <v>185</v>
      </c>
      <c r="D149" s="49">
        <f>D150</f>
        <v>24</v>
      </c>
      <c r="E149" s="49">
        <f t="shared" si="58"/>
        <v>0</v>
      </c>
      <c r="F149" s="49">
        <f t="shared" si="58"/>
        <v>0</v>
      </c>
    </row>
    <row r="150" spans="1:6" ht="31.5">
      <c r="A150" s="59">
        <v>1220420450</v>
      </c>
      <c r="B150" s="61" t="s">
        <v>75</v>
      </c>
      <c r="C150" s="60" t="s">
        <v>110</v>
      </c>
      <c r="D150" s="49">
        <f>D151</f>
        <v>24</v>
      </c>
      <c r="E150" s="49">
        <f t="shared" si="58"/>
        <v>0</v>
      </c>
      <c r="F150" s="49">
        <f t="shared" si="58"/>
        <v>0</v>
      </c>
    </row>
    <row r="151" spans="1:6" ht="35.45" customHeight="1">
      <c r="A151" s="59">
        <v>1220420450</v>
      </c>
      <c r="B151" s="59">
        <v>240</v>
      </c>
      <c r="C151" s="31" t="s">
        <v>469</v>
      </c>
      <c r="D151" s="49">
        <f>'№5 '!E570</f>
        <v>24</v>
      </c>
      <c r="E151" s="49">
        <f>'№5 '!F570</f>
        <v>0</v>
      </c>
      <c r="F151" s="49">
        <f>'№5 '!G570</f>
        <v>0</v>
      </c>
    </row>
    <row r="152" spans="1:6" ht="31.5">
      <c r="A152" s="59">
        <v>1220500000</v>
      </c>
      <c r="B152" s="59"/>
      <c r="C152" s="60" t="s">
        <v>263</v>
      </c>
      <c r="D152" s="49">
        <f>D153</f>
        <v>33.2</v>
      </c>
      <c r="E152" s="49">
        <f aca="true" t="shared" si="59" ref="E152:F154">E153</f>
        <v>34.3</v>
      </c>
      <c r="F152" s="49">
        <f t="shared" si="59"/>
        <v>34.3</v>
      </c>
    </row>
    <row r="153" spans="1:6" ht="12.75">
      <c r="A153" s="59">
        <v>1220520320</v>
      </c>
      <c r="B153" s="59"/>
      <c r="C153" s="60" t="s">
        <v>186</v>
      </c>
      <c r="D153" s="49">
        <f>D154</f>
        <v>33.2</v>
      </c>
      <c r="E153" s="49">
        <f t="shared" si="59"/>
        <v>34.3</v>
      </c>
      <c r="F153" s="49">
        <f t="shared" si="59"/>
        <v>34.3</v>
      </c>
    </row>
    <row r="154" spans="1:6" ht="31.5">
      <c r="A154" s="59">
        <v>1220520320</v>
      </c>
      <c r="B154" s="61" t="s">
        <v>112</v>
      </c>
      <c r="C154" s="60" t="s">
        <v>113</v>
      </c>
      <c r="D154" s="49">
        <f>D155</f>
        <v>33.2</v>
      </c>
      <c r="E154" s="49">
        <f t="shared" si="59"/>
        <v>34.3</v>
      </c>
      <c r="F154" s="49">
        <f t="shared" si="59"/>
        <v>34.3</v>
      </c>
    </row>
    <row r="155" spans="1:6" ht="12.75">
      <c r="A155" s="59">
        <v>1220520320</v>
      </c>
      <c r="B155" s="59">
        <v>610</v>
      </c>
      <c r="C155" s="60" t="s">
        <v>130</v>
      </c>
      <c r="D155" s="49">
        <f>'№5 '!E574</f>
        <v>33.2</v>
      </c>
      <c r="E155" s="49">
        <f>'№5 '!F574</f>
        <v>34.3</v>
      </c>
      <c r="F155" s="49">
        <f>'№5 '!G574</f>
        <v>34.3</v>
      </c>
    </row>
    <row r="156" spans="1:6" ht="12.75">
      <c r="A156" s="59">
        <v>1230000000</v>
      </c>
      <c r="B156" s="59"/>
      <c r="C156" s="60" t="s">
        <v>268</v>
      </c>
      <c r="D156" s="49">
        <f>D157+D167+D184+D171</f>
        <v>13022.699999999999</v>
      </c>
      <c r="E156" s="49">
        <f>E157+E167+E184+E171</f>
        <v>11745.399999999998</v>
      </c>
      <c r="F156" s="49">
        <f>F157+F167+F184+F171</f>
        <v>11745.399999999998</v>
      </c>
    </row>
    <row r="157" spans="1:6" ht="31.5">
      <c r="A157" s="59">
        <v>1230100000</v>
      </c>
      <c r="B157" s="59"/>
      <c r="C157" s="60" t="s">
        <v>269</v>
      </c>
      <c r="D157" s="49">
        <f>D161+D158+D164</f>
        <v>10825.599999999999</v>
      </c>
      <c r="E157" s="49">
        <f aca="true" t="shared" si="60" ref="E157:F157">E161+E158+E164</f>
        <v>10288.3</v>
      </c>
      <c r="F157" s="49">
        <f t="shared" si="60"/>
        <v>10288.3</v>
      </c>
    </row>
    <row r="158" spans="1:6" ht="47.25">
      <c r="A158" s="84">
        <v>1230110200</v>
      </c>
      <c r="B158" s="84"/>
      <c r="C158" s="9" t="s">
        <v>366</v>
      </c>
      <c r="D158" s="49">
        <f>D159</f>
        <v>325.4</v>
      </c>
      <c r="E158" s="49">
        <f aca="true" t="shared" si="61" ref="E158:F159">E159</f>
        <v>0</v>
      </c>
      <c r="F158" s="49">
        <f t="shared" si="61"/>
        <v>0</v>
      </c>
    </row>
    <row r="159" spans="1:6" ht="31.5">
      <c r="A159" s="84">
        <v>1230110200</v>
      </c>
      <c r="B159" s="86" t="s">
        <v>112</v>
      </c>
      <c r="C159" s="85" t="s">
        <v>113</v>
      </c>
      <c r="D159" s="49">
        <f>D160</f>
        <v>325.4</v>
      </c>
      <c r="E159" s="49">
        <f t="shared" si="61"/>
        <v>0</v>
      </c>
      <c r="F159" s="49">
        <f t="shared" si="61"/>
        <v>0</v>
      </c>
    </row>
    <row r="160" spans="1:6" ht="12.75">
      <c r="A160" s="84">
        <v>1230110200</v>
      </c>
      <c r="B160" s="84">
        <v>610</v>
      </c>
      <c r="C160" s="85" t="s">
        <v>130</v>
      </c>
      <c r="D160" s="49">
        <f>'№5 '!E645</f>
        <v>325.4</v>
      </c>
      <c r="E160" s="49">
        <f>'№5 '!F645</f>
        <v>0</v>
      </c>
      <c r="F160" s="49">
        <f>'№5 '!G645</f>
        <v>0</v>
      </c>
    </row>
    <row r="161" spans="1:6" ht="31.5">
      <c r="A161" s="59">
        <v>1230120010</v>
      </c>
      <c r="B161" s="59"/>
      <c r="C161" s="60" t="s">
        <v>151</v>
      </c>
      <c r="D161" s="49">
        <f>D162</f>
        <v>10467.699999999999</v>
      </c>
      <c r="E161" s="49">
        <f aca="true" t="shared" si="62" ref="E161:F162">E162</f>
        <v>10288.3</v>
      </c>
      <c r="F161" s="49">
        <f t="shared" si="62"/>
        <v>10288.3</v>
      </c>
    </row>
    <row r="162" spans="1:6" ht="31.5">
      <c r="A162" s="59">
        <v>1230120010</v>
      </c>
      <c r="B162" s="61" t="s">
        <v>112</v>
      </c>
      <c r="C162" s="60" t="s">
        <v>113</v>
      </c>
      <c r="D162" s="49">
        <f>D163</f>
        <v>10467.699999999999</v>
      </c>
      <c r="E162" s="49">
        <f t="shared" si="62"/>
        <v>10288.3</v>
      </c>
      <c r="F162" s="49">
        <f t="shared" si="62"/>
        <v>10288.3</v>
      </c>
    </row>
    <row r="163" spans="1:6" ht="12.75">
      <c r="A163" s="59">
        <v>1230120010</v>
      </c>
      <c r="B163" s="59">
        <v>610</v>
      </c>
      <c r="C163" s="60" t="s">
        <v>130</v>
      </c>
      <c r="D163" s="49">
        <f>'№5 '!E648</f>
        <v>10467.699999999999</v>
      </c>
      <c r="E163" s="49">
        <f>'№5 '!F648</f>
        <v>10288.3</v>
      </c>
      <c r="F163" s="49">
        <f>'№5 '!G648</f>
        <v>10288.3</v>
      </c>
    </row>
    <row r="164" spans="1:6" ht="47.25">
      <c r="A164" s="87" t="s">
        <v>372</v>
      </c>
      <c r="B164" s="87"/>
      <c r="C164" s="9" t="s">
        <v>371</v>
      </c>
      <c r="D164" s="49">
        <f>D165</f>
        <v>32.5</v>
      </c>
      <c r="E164" s="49">
        <f aca="true" t="shared" si="63" ref="E164:F165">E165</f>
        <v>0</v>
      </c>
      <c r="F164" s="49">
        <f t="shared" si="63"/>
        <v>0</v>
      </c>
    </row>
    <row r="165" spans="1:6" ht="31.5">
      <c r="A165" s="87" t="s">
        <v>372</v>
      </c>
      <c r="B165" s="89" t="s">
        <v>112</v>
      </c>
      <c r="C165" s="88" t="s">
        <v>113</v>
      </c>
      <c r="D165" s="49">
        <f>D166</f>
        <v>32.5</v>
      </c>
      <c r="E165" s="49">
        <f t="shared" si="63"/>
        <v>0</v>
      </c>
      <c r="F165" s="49">
        <f t="shared" si="63"/>
        <v>0</v>
      </c>
    </row>
    <row r="166" spans="1:6" ht="12.75">
      <c r="A166" s="87" t="s">
        <v>372</v>
      </c>
      <c r="B166" s="87">
        <v>610</v>
      </c>
      <c r="C166" s="88" t="s">
        <v>130</v>
      </c>
      <c r="D166" s="49">
        <f>'№5 '!E651</f>
        <v>32.5</v>
      </c>
      <c r="E166" s="49">
        <f>'№5 '!F651</f>
        <v>0</v>
      </c>
      <c r="F166" s="49">
        <f>'№5 '!G651</f>
        <v>0</v>
      </c>
    </row>
    <row r="167" spans="1:6" ht="63">
      <c r="A167" s="59">
        <v>1230200000</v>
      </c>
      <c r="B167" s="59"/>
      <c r="C167" s="60" t="s">
        <v>270</v>
      </c>
      <c r="D167" s="49">
        <f>D168</f>
        <v>254.9</v>
      </c>
      <c r="E167" s="49">
        <f aca="true" t="shared" si="64" ref="E167:F169">E168</f>
        <v>254.9</v>
      </c>
      <c r="F167" s="49">
        <f t="shared" si="64"/>
        <v>254.9</v>
      </c>
    </row>
    <row r="168" spans="1:6" ht="12.75">
      <c r="A168" s="59">
        <v>1230220040</v>
      </c>
      <c r="B168" s="59"/>
      <c r="C168" s="60" t="s">
        <v>271</v>
      </c>
      <c r="D168" s="49">
        <f>D169</f>
        <v>254.9</v>
      </c>
      <c r="E168" s="49">
        <f t="shared" si="64"/>
        <v>254.9</v>
      </c>
      <c r="F168" s="49">
        <f t="shared" si="64"/>
        <v>254.9</v>
      </c>
    </row>
    <row r="169" spans="1:6" ht="31.5">
      <c r="A169" s="59">
        <v>1230220040</v>
      </c>
      <c r="B169" s="61" t="s">
        <v>112</v>
      </c>
      <c r="C169" s="60" t="s">
        <v>113</v>
      </c>
      <c r="D169" s="49">
        <f>D170</f>
        <v>254.9</v>
      </c>
      <c r="E169" s="49">
        <f t="shared" si="64"/>
        <v>254.9</v>
      </c>
      <c r="F169" s="49">
        <f t="shared" si="64"/>
        <v>254.9</v>
      </c>
    </row>
    <row r="170" spans="1:6" ht="12.75">
      <c r="A170" s="59">
        <v>1230220040</v>
      </c>
      <c r="B170" s="59">
        <v>610</v>
      </c>
      <c r="C170" s="60" t="s">
        <v>130</v>
      </c>
      <c r="D170" s="49">
        <f>'№5 '!E655</f>
        <v>254.9</v>
      </c>
      <c r="E170" s="49">
        <f>'№5 '!F655</f>
        <v>254.9</v>
      </c>
      <c r="F170" s="49">
        <f>'№5 '!G655</f>
        <v>254.9</v>
      </c>
    </row>
    <row r="171" spans="1:6" ht="12.75">
      <c r="A171" s="68">
        <v>1230500000</v>
      </c>
      <c r="B171" s="68"/>
      <c r="C171" s="69" t="s">
        <v>331</v>
      </c>
      <c r="D171" s="49">
        <f>D178+D172+D175</f>
        <v>621.6</v>
      </c>
      <c r="E171" s="49">
        <f aca="true" t="shared" si="65" ref="E171:F171">E178+E172+E175</f>
        <v>0</v>
      </c>
      <c r="F171" s="49">
        <f t="shared" si="65"/>
        <v>0</v>
      </c>
    </row>
    <row r="172" spans="1:6" ht="47.25">
      <c r="A172" s="84">
        <v>1230510400</v>
      </c>
      <c r="B172" s="84"/>
      <c r="C172" s="85" t="s">
        <v>360</v>
      </c>
      <c r="D172" s="49">
        <f>D173</f>
        <v>459</v>
      </c>
      <c r="E172" s="49">
        <f aca="true" t="shared" si="66" ref="E172:F173">E173</f>
        <v>0</v>
      </c>
      <c r="F172" s="49">
        <f t="shared" si="66"/>
        <v>0</v>
      </c>
    </row>
    <row r="173" spans="1:6" ht="31.5">
      <c r="A173" s="84">
        <v>1230510400</v>
      </c>
      <c r="B173" s="86" t="s">
        <v>75</v>
      </c>
      <c r="C173" s="85" t="s">
        <v>110</v>
      </c>
      <c r="D173" s="49">
        <f>D174</f>
        <v>459</v>
      </c>
      <c r="E173" s="49">
        <f t="shared" si="66"/>
        <v>0</v>
      </c>
      <c r="F173" s="49">
        <f t="shared" si="66"/>
        <v>0</v>
      </c>
    </row>
    <row r="174" spans="1:6" ht="39.6" customHeight="1">
      <c r="A174" s="84">
        <v>1230510400</v>
      </c>
      <c r="B174" s="84">
        <v>240</v>
      </c>
      <c r="C174" s="31" t="s">
        <v>469</v>
      </c>
      <c r="D174" s="49">
        <f>'№5 '!E659</f>
        <v>459</v>
      </c>
      <c r="E174" s="49">
        <f>'№5 '!F659</f>
        <v>0</v>
      </c>
      <c r="F174" s="49">
        <f>'№5 '!G659</f>
        <v>0</v>
      </c>
    </row>
    <row r="175" spans="1:6" ht="31.5">
      <c r="A175" s="167">
        <v>1230520300</v>
      </c>
      <c r="B175" s="167"/>
      <c r="C175" s="168" t="s">
        <v>437</v>
      </c>
      <c r="D175" s="49">
        <f>D176</f>
        <v>54.6</v>
      </c>
      <c r="E175" s="49">
        <f aca="true" t="shared" si="67" ref="E175:F176">E176</f>
        <v>0</v>
      </c>
      <c r="F175" s="49">
        <f t="shared" si="67"/>
        <v>0</v>
      </c>
    </row>
    <row r="176" spans="1:6" ht="31.5">
      <c r="A176" s="167">
        <v>1230520300</v>
      </c>
      <c r="B176" s="169" t="s">
        <v>78</v>
      </c>
      <c r="C176" s="168" t="s">
        <v>111</v>
      </c>
      <c r="D176" s="49">
        <f>D177</f>
        <v>54.6</v>
      </c>
      <c r="E176" s="49">
        <f t="shared" si="67"/>
        <v>0</v>
      </c>
      <c r="F176" s="49">
        <f t="shared" si="67"/>
        <v>0</v>
      </c>
    </row>
    <row r="177" spans="1:6" ht="12.75">
      <c r="A177" s="167">
        <v>1230520300</v>
      </c>
      <c r="B177" s="169" t="s">
        <v>147</v>
      </c>
      <c r="C177" s="168" t="s">
        <v>148</v>
      </c>
      <c r="D177" s="49">
        <f>'№5 '!E662</f>
        <v>54.6</v>
      </c>
      <c r="E177" s="49">
        <f>'№5 '!F662</f>
        <v>0</v>
      </c>
      <c r="F177" s="49">
        <f>'№5 '!G662</f>
        <v>0</v>
      </c>
    </row>
    <row r="178" spans="1:6" ht="47.25">
      <c r="A178" s="68" t="s">
        <v>332</v>
      </c>
      <c r="B178" s="68"/>
      <c r="C178" s="69" t="s">
        <v>333</v>
      </c>
      <c r="D178" s="49">
        <f>D179</f>
        <v>108</v>
      </c>
      <c r="E178" s="49">
        <f aca="true" t="shared" si="68" ref="E178:F179">E179</f>
        <v>0</v>
      </c>
      <c r="F178" s="49">
        <f t="shared" si="68"/>
        <v>0</v>
      </c>
    </row>
    <row r="179" spans="1:6" ht="31.5">
      <c r="A179" s="68" t="s">
        <v>332</v>
      </c>
      <c r="B179" s="70" t="s">
        <v>75</v>
      </c>
      <c r="C179" s="69" t="s">
        <v>110</v>
      </c>
      <c r="D179" s="49">
        <f>D180</f>
        <v>108</v>
      </c>
      <c r="E179" s="49">
        <f t="shared" si="68"/>
        <v>0</v>
      </c>
      <c r="F179" s="49">
        <f t="shared" si="68"/>
        <v>0</v>
      </c>
    </row>
    <row r="180" spans="1:6" ht="31.5">
      <c r="A180" s="68" t="s">
        <v>332</v>
      </c>
      <c r="B180" s="68">
        <v>240</v>
      </c>
      <c r="C180" s="31" t="s">
        <v>469</v>
      </c>
      <c r="D180" s="49">
        <f>'№5 '!E665</f>
        <v>108</v>
      </c>
      <c r="E180" s="49">
        <f>'№5 '!F665</f>
        <v>0</v>
      </c>
      <c r="F180" s="49">
        <f>'№5 '!G665</f>
        <v>0</v>
      </c>
    </row>
    <row r="181" spans="1:6" ht="31.5">
      <c r="A181" s="167">
        <v>1230520300</v>
      </c>
      <c r="B181" s="167"/>
      <c r="C181" s="168" t="s">
        <v>437</v>
      </c>
      <c r="D181" s="49"/>
      <c r="E181" s="49"/>
      <c r="F181" s="49"/>
    </row>
    <row r="182" spans="1:6" ht="31.5">
      <c r="A182" s="167">
        <v>1230520300</v>
      </c>
      <c r="B182" s="169" t="s">
        <v>78</v>
      </c>
      <c r="C182" s="168" t="s">
        <v>111</v>
      </c>
      <c r="D182" s="49"/>
      <c r="E182" s="49"/>
      <c r="F182" s="49"/>
    </row>
    <row r="183" spans="1:6" ht="12.75">
      <c r="A183" s="167">
        <v>1230520300</v>
      </c>
      <c r="B183" s="169" t="s">
        <v>147</v>
      </c>
      <c r="C183" s="168" t="s">
        <v>148</v>
      </c>
      <c r="D183" s="49"/>
      <c r="E183" s="49"/>
      <c r="F183" s="49"/>
    </row>
    <row r="184" spans="1:6" ht="31.5">
      <c r="A184" s="59">
        <v>1230600000</v>
      </c>
      <c r="B184" s="59"/>
      <c r="C184" s="60" t="s">
        <v>272</v>
      </c>
      <c r="D184" s="49">
        <f>D185+D192+D195</f>
        <v>1320.6</v>
      </c>
      <c r="E184" s="49">
        <f aca="true" t="shared" si="69" ref="E184:F184">E185+E192+E195</f>
        <v>1202.1999999999998</v>
      </c>
      <c r="F184" s="49">
        <f t="shared" si="69"/>
        <v>1202.1999999999998</v>
      </c>
    </row>
    <row r="185" spans="1:6" ht="31.5">
      <c r="A185" s="59">
        <v>1230620300</v>
      </c>
      <c r="B185" s="59"/>
      <c r="C185" s="60" t="s">
        <v>273</v>
      </c>
      <c r="D185" s="49">
        <f>D186+D188+D190</f>
        <v>439</v>
      </c>
      <c r="E185" s="49">
        <f aca="true" t="shared" si="70" ref="E185:F185">E186+E188+E190</f>
        <v>459</v>
      </c>
      <c r="F185" s="49">
        <f t="shared" si="70"/>
        <v>459</v>
      </c>
    </row>
    <row r="186" spans="1:6" ht="63">
      <c r="A186" s="59">
        <v>1230620300</v>
      </c>
      <c r="B186" s="61" t="s">
        <v>74</v>
      </c>
      <c r="C186" s="60" t="s">
        <v>2</v>
      </c>
      <c r="D186" s="49">
        <f>D187</f>
        <v>141.3</v>
      </c>
      <c r="E186" s="49">
        <f aca="true" t="shared" si="71" ref="E186:F186">E187</f>
        <v>161.3</v>
      </c>
      <c r="F186" s="49">
        <f t="shared" si="71"/>
        <v>161.3</v>
      </c>
    </row>
    <row r="187" spans="1:6" ht="31.9" customHeight="1">
      <c r="A187" s="59">
        <v>1230620300</v>
      </c>
      <c r="B187" s="59">
        <v>120</v>
      </c>
      <c r="C187" s="60" t="s">
        <v>471</v>
      </c>
      <c r="D187" s="49">
        <f>'№5 '!E669</f>
        <v>141.3</v>
      </c>
      <c r="E187" s="49">
        <f>'№5 '!F669</f>
        <v>161.3</v>
      </c>
      <c r="F187" s="49">
        <f>'№5 '!G669</f>
        <v>161.3</v>
      </c>
    </row>
    <row r="188" spans="1:6" ht="31.5">
      <c r="A188" s="59">
        <v>1230620300</v>
      </c>
      <c r="B188" s="61" t="s">
        <v>75</v>
      </c>
      <c r="C188" s="60" t="s">
        <v>110</v>
      </c>
      <c r="D188" s="49">
        <f>D189</f>
        <v>194.2</v>
      </c>
      <c r="E188" s="49">
        <f aca="true" t="shared" si="72" ref="E188:F188">E189</f>
        <v>194.2</v>
      </c>
      <c r="F188" s="49">
        <f t="shared" si="72"/>
        <v>194.2</v>
      </c>
    </row>
    <row r="189" spans="1:6" ht="31.9" customHeight="1">
      <c r="A189" s="59">
        <v>1230620300</v>
      </c>
      <c r="B189" s="59">
        <v>240</v>
      </c>
      <c r="C189" s="31" t="s">
        <v>469</v>
      </c>
      <c r="D189" s="49">
        <f>'№5 '!E671</f>
        <v>194.2</v>
      </c>
      <c r="E189" s="49">
        <f>'№5 '!F671</f>
        <v>194.2</v>
      </c>
      <c r="F189" s="49">
        <f>'№5 '!G671</f>
        <v>194.2</v>
      </c>
    </row>
    <row r="190" spans="1:6" ht="12.75">
      <c r="A190" s="59">
        <v>1230620300</v>
      </c>
      <c r="B190" s="59" t="s">
        <v>76</v>
      </c>
      <c r="C190" s="60" t="s">
        <v>77</v>
      </c>
      <c r="D190" s="49">
        <f>D191</f>
        <v>103.5</v>
      </c>
      <c r="E190" s="49">
        <f aca="true" t="shared" si="73" ref="E190:F190">E191</f>
        <v>103.5</v>
      </c>
      <c r="F190" s="49">
        <f t="shared" si="73"/>
        <v>103.5</v>
      </c>
    </row>
    <row r="191" spans="1:6" ht="12.75">
      <c r="A191" s="59">
        <v>1230620300</v>
      </c>
      <c r="B191" s="59">
        <v>850</v>
      </c>
      <c r="C191" s="60" t="s">
        <v>126</v>
      </c>
      <c r="D191" s="49">
        <f>'№5 '!E673</f>
        <v>103.5</v>
      </c>
      <c r="E191" s="49">
        <f>'№5 '!F673</f>
        <v>103.5</v>
      </c>
      <c r="F191" s="49">
        <f>'№5 '!G673</f>
        <v>103.5</v>
      </c>
    </row>
    <row r="192" spans="1:6" ht="31.5">
      <c r="A192" s="59">
        <v>1230620310</v>
      </c>
      <c r="B192" s="59"/>
      <c r="C192" s="60" t="s">
        <v>274</v>
      </c>
      <c r="D192" s="49">
        <f>D193</f>
        <v>55.3</v>
      </c>
      <c r="E192" s="49">
        <f aca="true" t="shared" si="74" ref="E192:F193">E193</f>
        <v>55.3</v>
      </c>
      <c r="F192" s="49">
        <f t="shared" si="74"/>
        <v>55.3</v>
      </c>
    </row>
    <row r="193" spans="1:6" ht="31.5">
      <c r="A193" s="59">
        <v>1230620310</v>
      </c>
      <c r="B193" s="61" t="s">
        <v>75</v>
      </c>
      <c r="C193" s="60" t="s">
        <v>110</v>
      </c>
      <c r="D193" s="49">
        <f>D194</f>
        <v>55.3</v>
      </c>
      <c r="E193" s="49">
        <f t="shared" si="74"/>
        <v>55.3</v>
      </c>
      <c r="F193" s="49">
        <f t="shared" si="74"/>
        <v>55.3</v>
      </c>
    </row>
    <row r="194" spans="1:6" ht="31.15" customHeight="1">
      <c r="A194" s="59">
        <v>1230620310</v>
      </c>
      <c r="B194" s="59">
        <v>240</v>
      </c>
      <c r="C194" s="31" t="s">
        <v>469</v>
      </c>
      <c r="D194" s="49">
        <f>'№5 '!E676</f>
        <v>55.3</v>
      </c>
      <c r="E194" s="49">
        <f>'№5 '!F676</f>
        <v>55.3</v>
      </c>
      <c r="F194" s="49">
        <f>'№5 '!G676</f>
        <v>55.3</v>
      </c>
    </row>
    <row r="195" spans="1:6" ht="12.75">
      <c r="A195" s="59">
        <v>1230620320</v>
      </c>
      <c r="B195" s="59"/>
      <c r="C195" s="60" t="s">
        <v>186</v>
      </c>
      <c r="D195" s="49">
        <f>D196+D198+D200</f>
        <v>826.3</v>
      </c>
      <c r="E195" s="49">
        <f aca="true" t="shared" si="75" ref="E195:F195">E196+E198+E200</f>
        <v>687.9</v>
      </c>
      <c r="F195" s="49">
        <f t="shared" si="75"/>
        <v>687.9</v>
      </c>
    </row>
    <row r="196" spans="1:6" ht="63">
      <c r="A196" s="59">
        <v>1230620320</v>
      </c>
      <c r="B196" s="61" t="s">
        <v>74</v>
      </c>
      <c r="C196" s="60" t="s">
        <v>2</v>
      </c>
      <c r="D196" s="49">
        <f>D197</f>
        <v>382.1</v>
      </c>
      <c r="E196" s="49">
        <f aca="true" t="shared" si="76" ref="E196:F196">E197</f>
        <v>408.7</v>
      </c>
      <c r="F196" s="49">
        <f t="shared" si="76"/>
        <v>408.7</v>
      </c>
    </row>
    <row r="197" spans="1:6" ht="33" customHeight="1">
      <c r="A197" s="59">
        <v>1230620320</v>
      </c>
      <c r="B197" s="59">
        <v>120</v>
      </c>
      <c r="C197" s="199" t="s">
        <v>471</v>
      </c>
      <c r="D197" s="49">
        <f>'№5 '!E679</f>
        <v>382.1</v>
      </c>
      <c r="E197" s="49">
        <f>'№5 '!F679</f>
        <v>408.7</v>
      </c>
      <c r="F197" s="49">
        <f>'№5 '!G679</f>
        <v>408.7</v>
      </c>
    </row>
    <row r="198" spans="1:6" ht="31.5">
      <c r="A198" s="59">
        <v>1230620320</v>
      </c>
      <c r="B198" s="61" t="s">
        <v>75</v>
      </c>
      <c r="C198" s="60" t="s">
        <v>110</v>
      </c>
      <c r="D198" s="49">
        <f>D199</f>
        <v>240.2</v>
      </c>
      <c r="E198" s="49">
        <f aca="true" t="shared" si="77" ref="E198:F198">E199</f>
        <v>240.2</v>
      </c>
      <c r="F198" s="49">
        <f t="shared" si="77"/>
        <v>240.2</v>
      </c>
    </row>
    <row r="199" spans="1:6" ht="33.6" customHeight="1">
      <c r="A199" s="59">
        <v>1230620320</v>
      </c>
      <c r="B199" s="59">
        <v>240</v>
      </c>
      <c r="C199" s="31" t="s">
        <v>469</v>
      </c>
      <c r="D199" s="49">
        <f>'№5 '!E681</f>
        <v>240.2</v>
      </c>
      <c r="E199" s="49">
        <f>'№5 '!F681</f>
        <v>240.2</v>
      </c>
      <c r="F199" s="49">
        <f>'№5 '!G681</f>
        <v>240.2</v>
      </c>
    </row>
    <row r="200" spans="1:6" ht="31.5">
      <c r="A200" s="59">
        <v>1230620320</v>
      </c>
      <c r="B200" s="61" t="s">
        <v>112</v>
      </c>
      <c r="C200" s="60" t="s">
        <v>113</v>
      </c>
      <c r="D200" s="49">
        <f>D201</f>
        <v>204</v>
      </c>
      <c r="E200" s="49">
        <f aca="true" t="shared" si="78" ref="E200:F200">E201</f>
        <v>39</v>
      </c>
      <c r="F200" s="49">
        <f t="shared" si="78"/>
        <v>39</v>
      </c>
    </row>
    <row r="201" spans="1:6" ht="12.75">
      <c r="A201" s="59">
        <v>1230620320</v>
      </c>
      <c r="B201" s="59">
        <v>610</v>
      </c>
      <c r="C201" s="60" t="s">
        <v>130</v>
      </c>
      <c r="D201" s="49">
        <f>'№5 '!E683</f>
        <v>204</v>
      </c>
      <c r="E201" s="49">
        <f>'№5 '!F683</f>
        <v>39</v>
      </c>
      <c r="F201" s="49">
        <f>'№5 '!G683</f>
        <v>39</v>
      </c>
    </row>
    <row r="202" spans="1:6" ht="31.5">
      <c r="A202" s="61">
        <v>1240000000</v>
      </c>
      <c r="B202" s="59"/>
      <c r="C202" s="60" t="s">
        <v>171</v>
      </c>
      <c r="D202" s="49">
        <f>D203+D207+D231+D218+D243+D251</f>
        <v>15444.300000000001</v>
      </c>
      <c r="E202" s="49">
        <f>E203+E207+E231+E218+E243+E251</f>
        <v>7279.3</v>
      </c>
      <c r="F202" s="49">
        <f>F203+F207+F231+F218+F243+F251</f>
        <v>7279.3</v>
      </c>
    </row>
    <row r="203" spans="1:6" ht="31.5">
      <c r="A203" s="61">
        <v>1240100000</v>
      </c>
      <c r="B203" s="59"/>
      <c r="C203" s="60" t="s">
        <v>265</v>
      </c>
      <c r="D203" s="49">
        <f>D204</f>
        <v>408</v>
      </c>
      <c r="E203" s="49">
        <f aca="true" t="shared" si="79" ref="E203:F205">E204</f>
        <v>408</v>
      </c>
      <c r="F203" s="49">
        <f t="shared" si="79"/>
        <v>408</v>
      </c>
    </row>
    <row r="204" spans="1:6" ht="31.5">
      <c r="A204" s="61">
        <v>1240120330</v>
      </c>
      <c r="B204" s="59"/>
      <c r="C204" s="60" t="s">
        <v>190</v>
      </c>
      <c r="D204" s="49">
        <f>D205</f>
        <v>408</v>
      </c>
      <c r="E204" s="49">
        <f t="shared" si="79"/>
        <v>408</v>
      </c>
      <c r="F204" s="49">
        <f t="shared" si="79"/>
        <v>408</v>
      </c>
    </row>
    <row r="205" spans="1:6" ht="31.5">
      <c r="A205" s="61">
        <v>1240120330</v>
      </c>
      <c r="B205" s="61" t="s">
        <v>112</v>
      </c>
      <c r="C205" s="60" t="s">
        <v>113</v>
      </c>
      <c r="D205" s="49">
        <f>D206</f>
        <v>408</v>
      </c>
      <c r="E205" s="49">
        <f t="shared" si="79"/>
        <v>408</v>
      </c>
      <c r="F205" s="49">
        <f t="shared" si="79"/>
        <v>408</v>
      </c>
    </row>
    <row r="206" spans="1:6" ht="31.5">
      <c r="A206" s="61">
        <v>1240120330</v>
      </c>
      <c r="B206" s="59">
        <v>630</v>
      </c>
      <c r="C206" s="60" t="s">
        <v>191</v>
      </c>
      <c r="D206" s="49">
        <f>'№5 '!E596</f>
        <v>408</v>
      </c>
      <c r="E206" s="49">
        <f>'№5 '!F596</f>
        <v>408</v>
      </c>
      <c r="F206" s="49">
        <f>'№5 '!G596</f>
        <v>408</v>
      </c>
    </row>
    <row r="207" spans="1:6" ht="31.5">
      <c r="A207" s="61">
        <v>1240200000</v>
      </c>
      <c r="B207" s="59"/>
      <c r="C207" s="60" t="s">
        <v>192</v>
      </c>
      <c r="D207" s="49">
        <f>D213+D208</f>
        <v>194.3</v>
      </c>
      <c r="E207" s="49">
        <f>E213+E208</f>
        <v>194.3</v>
      </c>
      <c r="F207" s="49">
        <f>F213+F208</f>
        <v>194.3</v>
      </c>
    </row>
    <row r="208" spans="1:6" ht="12.75">
      <c r="A208" s="59">
        <v>1240220340</v>
      </c>
      <c r="B208" s="59"/>
      <c r="C208" s="31" t="s">
        <v>203</v>
      </c>
      <c r="D208" s="49">
        <f>D209+D211</f>
        <v>62.4</v>
      </c>
      <c r="E208" s="49">
        <f aca="true" t="shared" si="80" ref="E208:F208">E209+E211</f>
        <v>62.4</v>
      </c>
      <c r="F208" s="49">
        <f t="shared" si="80"/>
        <v>62.4</v>
      </c>
    </row>
    <row r="209" spans="1:6" ht="31.5">
      <c r="A209" s="59">
        <v>1240220340</v>
      </c>
      <c r="B209" s="61" t="s">
        <v>75</v>
      </c>
      <c r="C209" s="60" t="s">
        <v>110</v>
      </c>
      <c r="D209" s="49">
        <f>D210</f>
        <v>47.4</v>
      </c>
      <c r="E209" s="49">
        <f aca="true" t="shared" si="81" ref="E209:F209">E210</f>
        <v>47.4</v>
      </c>
      <c r="F209" s="49">
        <f t="shared" si="81"/>
        <v>47.4</v>
      </c>
    </row>
    <row r="210" spans="1:6" ht="31.9" customHeight="1">
      <c r="A210" s="59">
        <v>1240220340</v>
      </c>
      <c r="B210" s="59">
        <v>240</v>
      </c>
      <c r="C210" s="31" t="s">
        <v>469</v>
      </c>
      <c r="D210" s="49">
        <f>'№5 '!E89</f>
        <v>47.4</v>
      </c>
      <c r="E210" s="49">
        <f>'№5 '!F89</f>
        <v>47.4</v>
      </c>
      <c r="F210" s="49">
        <f>'№5 '!G89</f>
        <v>47.4</v>
      </c>
    </row>
    <row r="211" spans="1:6" ht="12.75">
      <c r="A211" s="59">
        <v>1240220340</v>
      </c>
      <c r="B211" s="61" t="s">
        <v>79</v>
      </c>
      <c r="C211" s="60" t="s">
        <v>80</v>
      </c>
      <c r="D211" s="49">
        <f>D212</f>
        <v>15</v>
      </c>
      <c r="E211" s="49">
        <f aca="true" t="shared" si="82" ref="E211:F211">E212</f>
        <v>15</v>
      </c>
      <c r="F211" s="49">
        <f t="shared" si="82"/>
        <v>15</v>
      </c>
    </row>
    <row r="212" spans="1:6" ht="12.75">
      <c r="A212" s="59">
        <v>1240220340</v>
      </c>
      <c r="B212" s="59">
        <v>350</v>
      </c>
      <c r="C212" s="22" t="s">
        <v>204</v>
      </c>
      <c r="D212" s="49">
        <f>'№5 '!E91</f>
        <v>15</v>
      </c>
      <c r="E212" s="49">
        <f>'№5 '!F91</f>
        <v>15</v>
      </c>
      <c r="F212" s="49">
        <f>'№5 '!G91</f>
        <v>15</v>
      </c>
    </row>
    <row r="213" spans="1:6" ht="31.5">
      <c r="A213" s="61">
        <v>1240220350</v>
      </c>
      <c r="B213" s="59"/>
      <c r="C213" s="60" t="s">
        <v>266</v>
      </c>
      <c r="D213" s="49">
        <f>D214+D216</f>
        <v>131.9</v>
      </c>
      <c r="E213" s="49">
        <f aca="true" t="shared" si="83" ref="E213:F213">E214+E216</f>
        <v>131.9</v>
      </c>
      <c r="F213" s="49">
        <f t="shared" si="83"/>
        <v>131.9</v>
      </c>
    </row>
    <row r="214" spans="1:6" ht="31.5">
      <c r="A214" s="61">
        <v>1240220350</v>
      </c>
      <c r="B214" s="61" t="s">
        <v>75</v>
      </c>
      <c r="C214" s="60" t="s">
        <v>110</v>
      </c>
      <c r="D214" s="49">
        <f>D215</f>
        <v>3.9</v>
      </c>
      <c r="E214" s="49">
        <f aca="true" t="shared" si="84" ref="E214:F214">E215</f>
        <v>3.9</v>
      </c>
      <c r="F214" s="49">
        <f t="shared" si="84"/>
        <v>3.9</v>
      </c>
    </row>
    <row r="215" spans="1:6" ht="36.6" customHeight="1">
      <c r="A215" s="61">
        <v>1240220350</v>
      </c>
      <c r="B215" s="59">
        <v>240</v>
      </c>
      <c r="C215" s="31" t="s">
        <v>469</v>
      </c>
      <c r="D215" s="49">
        <f>'№5 '!E600</f>
        <v>3.9</v>
      </c>
      <c r="E215" s="49">
        <f>'№5 '!F600</f>
        <v>3.9</v>
      </c>
      <c r="F215" s="49">
        <f>'№5 '!G600</f>
        <v>3.9</v>
      </c>
    </row>
    <row r="216" spans="1:6" ht="12.75">
      <c r="A216" s="61">
        <v>1240220350</v>
      </c>
      <c r="B216" s="59" t="s">
        <v>79</v>
      </c>
      <c r="C216" s="60" t="s">
        <v>80</v>
      </c>
      <c r="D216" s="49">
        <f>D217</f>
        <v>128</v>
      </c>
      <c r="E216" s="49">
        <f aca="true" t="shared" si="85" ref="E216:F216">E217</f>
        <v>128</v>
      </c>
      <c r="F216" s="49">
        <f t="shared" si="85"/>
        <v>128</v>
      </c>
    </row>
    <row r="217" spans="1:6" ht="12.75">
      <c r="A217" s="61">
        <v>1240220350</v>
      </c>
      <c r="B217" s="59" t="s">
        <v>187</v>
      </c>
      <c r="C217" s="60" t="s">
        <v>188</v>
      </c>
      <c r="D217" s="49">
        <f>'№5 '!E602</f>
        <v>128</v>
      </c>
      <c r="E217" s="49">
        <f>'№5 '!F602</f>
        <v>128</v>
      </c>
      <c r="F217" s="49">
        <f>'№5 '!G602</f>
        <v>128</v>
      </c>
    </row>
    <row r="218" spans="1:6" ht="12.75">
      <c r="A218" s="59">
        <v>1240300000</v>
      </c>
      <c r="B218" s="59"/>
      <c r="C218" s="60" t="s">
        <v>267</v>
      </c>
      <c r="D218" s="49">
        <f>D222+D225+D228+D219</f>
        <v>2524.2</v>
      </c>
      <c r="E218" s="49">
        <f aca="true" t="shared" si="86" ref="E218:F218">E222+E225+E228+E219</f>
        <v>2068.6</v>
      </c>
      <c r="F218" s="49">
        <f t="shared" si="86"/>
        <v>2068.6</v>
      </c>
    </row>
    <row r="219" spans="1:6" ht="47.25">
      <c r="A219" s="84">
        <v>1240310320</v>
      </c>
      <c r="B219" s="84"/>
      <c r="C219" s="85" t="s">
        <v>359</v>
      </c>
      <c r="D219" s="49">
        <f>D220</f>
        <v>455.6</v>
      </c>
      <c r="E219" s="49">
        <f aca="true" t="shared" si="87" ref="E219:F220">E220</f>
        <v>0</v>
      </c>
      <c r="F219" s="49">
        <f t="shared" si="87"/>
        <v>0</v>
      </c>
    </row>
    <row r="220" spans="1:6" ht="12.75">
      <c r="A220" s="84">
        <v>1240310320</v>
      </c>
      <c r="B220" s="84" t="s">
        <v>76</v>
      </c>
      <c r="C220" s="85" t="s">
        <v>77</v>
      </c>
      <c r="D220" s="49">
        <f>D221</f>
        <v>455.6</v>
      </c>
      <c r="E220" s="49">
        <f t="shared" si="87"/>
        <v>0</v>
      </c>
      <c r="F220" s="49">
        <f t="shared" si="87"/>
        <v>0</v>
      </c>
    </row>
    <row r="221" spans="1:6" ht="47.25">
      <c r="A221" s="84">
        <v>1240310320</v>
      </c>
      <c r="B221" s="84" t="s">
        <v>197</v>
      </c>
      <c r="C221" s="85" t="s">
        <v>198</v>
      </c>
      <c r="D221" s="49">
        <f>'№5 '!E700</f>
        <v>455.6</v>
      </c>
      <c r="E221" s="49">
        <f>'№5 '!F700</f>
        <v>0</v>
      </c>
      <c r="F221" s="49">
        <f>'№5 '!G700</f>
        <v>0</v>
      </c>
    </row>
    <row r="222" spans="1:6" ht="31.5">
      <c r="A222" s="59">
        <v>1240320360</v>
      </c>
      <c r="B222" s="59"/>
      <c r="C222" s="60" t="s">
        <v>193</v>
      </c>
      <c r="D222" s="49">
        <f>D223</f>
        <v>942.5</v>
      </c>
      <c r="E222" s="49">
        <f aca="true" t="shared" si="88" ref="E222:F223">E223</f>
        <v>942.5</v>
      </c>
      <c r="F222" s="49">
        <f t="shared" si="88"/>
        <v>942.5</v>
      </c>
    </row>
    <row r="223" spans="1:6" ht="12.75">
      <c r="A223" s="59">
        <v>1240320360</v>
      </c>
      <c r="B223" s="59" t="s">
        <v>76</v>
      </c>
      <c r="C223" s="60" t="s">
        <v>77</v>
      </c>
      <c r="D223" s="49">
        <f>D224</f>
        <v>942.5</v>
      </c>
      <c r="E223" s="49">
        <f t="shared" si="88"/>
        <v>942.5</v>
      </c>
      <c r="F223" s="49">
        <f t="shared" si="88"/>
        <v>942.5</v>
      </c>
    </row>
    <row r="224" spans="1:6" ht="47.25">
      <c r="A224" s="59">
        <v>1240320360</v>
      </c>
      <c r="B224" s="59" t="s">
        <v>197</v>
      </c>
      <c r="C224" s="60" t="s">
        <v>198</v>
      </c>
      <c r="D224" s="49">
        <f>'№5 '!E703</f>
        <v>942.5</v>
      </c>
      <c r="E224" s="49">
        <f>'№5 '!F703</f>
        <v>942.5</v>
      </c>
      <c r="F224" s="49">
        <f>'№5 '!G703</f>
        <v>942.5</v>
      </c>
    </row>
    <row r="225" spans="1:6" ht="51.6" customHeight="1">
      <c r="A225" s="59">
        <v>1240320370</v>
      </c>
      <c r="B225" s="59"/>
      <c r="C225" s="60" t="s">
        <v>194</v>
      </c>
      <c r="D225" s="49">
        <f>D226</f>
        <v>489.6</v>
      </c>
      <c r="E225" s="49">
        <f aca="true" t="shared" si="89" ref="E225:F226">E226</f>
        <v>489.6</v>
      </c>
      <c r="F225" s="49">
        <f t="shared" si="89"/>
        <v>489.6</v>
      </c>
    </row>
    <row r="226" spans="1:6" ht="12.75">
      <c r="A226" s="59">
        <v>1240320370</v>
      </c>
      <c r="B226" s="59" t="s">
        <v>76</v>
      </c>
      <c r="C226" s="60" t="s">
        <v>77</v>
      </c>
      <c r="D226" s="49">
        <f>D227</f>
        <v>489.6</v>
      </c>
      <c r="E226" s="49">
        <f t="shared" si="89"/>
        <v>489.6</v>
      </c>
      <c r="F226" s="49">
        <f t="shared" si="89"/>
        <v>489.6</v>
      </c>
    </row>
    <row r="227" spans="1:6" ht="47.25">
      <c r="A227" s="59">
        <v>1240320370</v>
      </c>
      <c r="B227" s="59" t="s">
        <v>197</v>
      </c>
      <c r="C227" s="60" t="s">
        <v>198</v>
      </c>
      <c r="D227" s="49">
        <f>'№5 '!E706</f>
        <v>489.6</v>
      </c>
      <c r="E227" s="49">
        <f>'№5 '!F706</f>
        <v>489.6</v>
      </c>
      <c r="F227" s="49">
        <f>'№5 '!G706</f>
        <v>489.6</v>
      </c>
    </row>
    <row r="228" spans="1:6" ht="47.25">
      <c r="A228" s="59" t="s">
        <v>196</v>
      </c>
      <c r="B228" s="59"/>
      <c r="C228" s="60" t="s">
        <v>195</v>
      </c>
      <c r="D228" s="49">
        <f>D229</f>
        <v>636.5</v>
      </c>
      <c r="E228" s="49">
        <f aca="true" t="shared" si="90" ref="E228:F229">E229</f>
        <v>636.5</v>
      </c>
      <c r="F228" s="49">
        <f t="shared" si="90"/>
        <v>636.5</v>
      </c>
    </row>
    <row r="229" spans="1:6" ht="12.75">
      <c r="A229" s="59" t="s">
        <v>196</v>
      </c>
      <c r="B229" s="59" t="s">
        <v>76</v>
      </c>
      <c r="C229" s="60" t="s">
        <v>77</v>
      </c>
      <c r="D229" s="49">
        <f>D230</f>
        <v>636.5</v>
      </c>
      <c r="E229" s="49">
        <f t="shared" si="90"/>
        <v>636.5</v>
      </c>
      <c r="F229" s="49">
        <f t="shared" si="90"/>
        <v>636.5</v>
      </c>
    </row>
    <row r="230" spans="1:6" ht="47.25">
      <c r="A230" s="59" t="s">
        <v>196</v>
      </c>
      <c r="B230" s="59" t="s">
        <v>197</v>
      </c>
      <c r="C230" s="60" t="s">
        <v>198</v>
      </c>
      <c r="D230" s="49">
        <f>'№5 '!E709</f>
        <v>636.5</v>
      </c>
      <c r="E230" s="49">
        <f>'№5 '!F709</f>
        <v>636.5</v>
      </c>
      <c r="F230" s="49">
        <f>'№5 '!G709</f>
        <v>636.5</v>
      </c>
    </row>
    <row r="231" spans="1:6" ht="12.75">
      <c r="A231" s="59">
        <v>1240400000</v>
      </c>
      <c r="B231" s="59"/>
      <c r="C231" s="60" t="s">
        <v>264</v>
      </c>
      <c r="D231" s="49">
        <f>D232+D240+D235</f>
        <v>11438.5</v>
      </c>
      <c r="E231" s="49">
        <f>E232+E240+E235</f>
        <v>3775.3</v>
      </c>
      <c r="F231" s="49">
        <f>F232+F240+F235</f>
        <v>3775.3</v>
      </c>
    </row>
    <row r="232" spans="1:6" ht="31.5">
      <c r="A232" s="59">
        <v>1240420380</v>
      </c>
      <c r="B232" s="59"/>
      <c r="C232" s="60" t="s">
        <v>189</v>
      </c>
      <c r="D232" s="49">
        <f>D233</f>
        <v>217</v>
      </c>
      <c r="E232" s="49">
        <f aca="true" t="shared" si="91" ref="E232:F232">E233</f>
        <v>217</v>
      </c>
      <c r="F232" s="49">
        <f t="shared" si="91"/>
        <v>217</v>
      </c>
    </row>
    <row r="233" spans="1:6" ht="12.75">
      <c r="A233" s="59">
        <v>1240420380</v>
      </c>
      <c r="B233" s="61" t="s">
        <v>79</v>
      </c>
      <c r="C233" s="60" t="s">
        <v>80</v>
      </c>
      <c r="D233" s="49">
        <f>D234</f>
        <v>217</v>
      </c>
      <c r="E233" s="49">
        <f aca="true" t="shared" si="92" ref="E233:F233">E234</f>
        <v>217</v>
      </c>
      <c r="F233" s="49">
        <f t="shared" si="92"/>
        <v>217</v>
      </c>
    </row>
    <row r="234" spans="1:6" ht="31.5">
      <c r="A234" s="59">
        <v>1240420380</v>
      </c>
      <c r="B234" s="61" t="s">
        <v>127</v>
      </c>
      <c r="C234" s="60" t="s">
        <v>128</v>
      </c>
      <c r="D234" s="49">
        <f>'№5 '!E606</f>
        <v>217</v>
      </c>
      <c r="E234" s="49">
        <f>'№5 '!F606</f>
        <v>217</v>
      </c>
      <c r="F234" s="49">
        <f>'№5 '!G606</f>
        <v>217</v>
      </c>
    </row>
    <row r="235" spans="1:6" ht="47.25">
      <c r="A235" s="59">
        <v>1240420390</v>
      </c>
      <c r="B235" s="59"/>
      <c r="C235" s="31" t="s">
        <v>73</v>
      </c>
      <c r="D235" s="49">
        <f>D236+D238</f>
        <v>1650</v>
      </c>
      <c r="E235" s="49">
        <f aca="true" t="shared" si="93" ref="E235:F235">E236+E238</f>
        <v>1650</v>
      </c>
      <c r="F235" s="49">
        <f t="shared" si="93"/>
        <v>1650</v>
      </c>
    </row>
    <row r="236" spans="1:6" ht="31.5">
      <c r="A236" s="59">
        <v>1240420390</v>
      </c>
      <c r="B236" s="61" t="s">
        <v>75</v>
      </c>
      <c r="C236" s="60" t="s">
        <v>110</v>
      </c>
      <c r="D236" s="49">
        <f>D237</f>
        <v>48.1</v>
      </c>
      <c r="E236" s="49">
        <f aca="true" t="shared" si="94" ref="E236:F236">E237</f>
        <v>48.1</v>
      </c>
      <c r="F236" s="49">
        <f t="shared" si="94"/>
        <v>48.1</v>
      </c>
    </row>
    <row r="237" spans="1:6" ht="34.9" customHeight="1">
      <c r="A237" s="59">
        <v>1240420390</v>
      </c>
      <c r="B237" s="59">
        <v>240</v>
      </c>
      <c r="C237" s="31" t="s">
        <v>469</v>
      </c>
      <c r="D237" s="49">
        <f>'№5 '!E587</f>
        <v>48.1</v>
      </c>
      <c r="E237" s="49">
        <f>'№5 '!F587</f>
        <v>48.1</v>
      </c>
      <c r="F237" s="49">
        <f>'№5 '!G587</f>
        <v>48.1</v>
      </c>
    </row>
    <row r="238" spans="1:6" ht="12.75">
      <c r="A238" s="59">
        <v>1240420390</v>
      </c>
      <c r="B238" s="61" t="s">
        <v>79</v>
      </c>
      <c r="C238" s="60" t="s">
        <v>80</v>
      </c>
      <c r="D238" s="49">
        <f>D239</f>
        <v>1601.9</v>
      </c>
      <c r="E238" s="49">
        <f aca="true" t="shared" si="95" ref="E238:F238">E239</f>
        <v>1601.9</v>
      </c>
      <c r="F238" s="49">
        <f t="shared" si="95"/>
        <v>1601.9</v>
      </c>
    </row>
    <row r="239" spans="1:6" ht="12.75">
      <c r="A239" s="59">
        <v>1240420390</v>
      </c>
      <c r="B239" s="61" t="s">
        <v>187</v>
      </c>
      <c r="C239" s="60" t="s">
        <v>188</v>
      </c>
      <c r="D239" s="49">
        <f>'№5 '!E589</f>
        <v>1601.9</v>
      </c>
      <c r="E239" s="49">
        <f>'№5 '!F589</f>
        <v>1601.9</v>
      </c>
      <c r="F239" s="49">
        <f>'№5 '!G589</f>
        <v>1601.9</v>
      </c>
    </row>
    <row r="240" spans="1:6" ht="12.75">
      <c r="A240" s="68" t="s">
        <v>357</v>
      </c>
      <c r="B240" s="68"/>
      <c r="C240" s="69" t="s">
        <v>356</v>
      </c>
      <c r="D240" s="49">
        <f>D241</f>
        <v>9571.5</v>
      </c>
      <c r="E240" s="49">
        <f aca="true" t="shared" si="96" ref="E240:F240">E241</f>
        <v>1908.3</v>
      </c>
      <c r="F240" s="49">
        <f t="shared" si="96"/>
        <v>1908.3</v>
      </c>
    </row>
    <row r="241" spans="1:6" ht="12.75">
      <c r="A241" s="68" t="s">
        <v>357</v>
      </c>
      <c r="B241" s="1" t="s">
        <v>79</v>
      </c>
      <c r="C241" s="37" t="s">
        <v>80</v>
      </c>
      <c r="D241" s="49">
        <f>D242</f>
        <v>9571.5</v>
      </c>
      <c r="E241" s="49">
        <f aca="true" t="shared" si="97" ref="E241:F241">E242</f>
        <v>1908.3</v>
      </c>
      <c r="F241" s="49">
        <f t="shared" si="97"/>
        <v>1908.3</v>
      </c>
    </row>
    <row r="242" spans="1:6" ht="31.5">
      <c r="A242" s="68" t="s">
        <v>357</v>
      </c>
      <c r="B242" s="1" t="s">
        <v>127</v>
      </c>
      <c r="C242" s="37" t="s">
        <v>128</v>
      </c>
      <c r="D242" s="49">
        <f>'№5 '!E609</f>
        <v>9571.5</v>
      </c>
      <c r="E242" s="49">
        <f>'№5 '!F609</f>
        <v>1908.3</v>
      </c>
      <c r="F242" s="49">
        <f>'№5 '!G609</f>
        <v>1908.3</v>
      </c>
    </row>
    <row r="243" spans="1:6" ht="12.75">
      <c r="A243" s="59">
        <v>1240500000</v>
      </c>
      <c r="B243" s="59"/>
      <c r="C243" s="60" t="s">
        <v>172</v>
      </c>
      <c r="D243" s="49">
        <f>D244+D248</f>
        <v>732.7</v>
      </c>
      <c r="E243" s="49">
        <f aca="true" t="shared" si="98" ref="E243:F243">E244+E248</f>
        <v>708.7</v>
      </c>
      <c r="F243" s="49">
        <f t="shared" si="98"/>
        <v>708.7</v>
      </c>
    </row>
    <row r="244" spans="1:6" ht="31.5">
      <c r="A244" s="59">
        <v>1240520410</v>
      </c>
      <c r="B244" s="59"/>
      <c r="C244" s="60" t="s">
        <v>284</v>
      </c>
      <c r="D244" s="49">
        <f>D245</f>
        <v>217.3</v>
      </c>
      <c r="E244" s="49">
        <f aca="true" t="shared" si="99" ref="E244:F244">E245</f>
        <v>193.3</v>
      </c>
      <c r="F244" s="49">
        <f t="shared" si="99"/>
        <v>193.3</v>
      </c>
    </row>
    <row r="245" spans="1:6" ht="12.75">
      <c r="A245" s="59">
        <v>1240520410</v>
      </c>
      <c r="B245" s="59" t="s">
        <v>76</v>
      </c>
      <c r="C245" s="60" t="s">
        <v>77</v>
      </c>
      <c r="D245" s="49">
        <f>D246+D247</f>
        <v>217.3</v>
      </c>
      <c r="E245" s="49">
        <f aca="true" t="shared" si="100" ref="E245:F245">E246+E247</f>
        <v>193.3</v>
      </c>
      <c r="F245" s="49">
        <f t="shared" si="100"/>
        <v>193.3</v>
      </c>
    </row>
    <row r="246" spans="1:6" ht="12.75">
      <c r="A246" s="59">
        <v>1240520410</v>
      </c>
      <c r="B246" s="59">
        <v>850</v>
      </c>
      <c r="C246" s="60" t="s">
        <v>126</v>
      </c>
      <c r="D246" s="49">
        <f>'№5 '!E95</f>
        <v>128.70000000000002</v>
      </c>
      <c r="E246" s="49">
        <f>'№5 '!F95</f>
        <v>104.70000000000002</v>
      </c>
      <c r="F246" s="49">
        <f>'№5 '!G95</f>
        <v>104.70000000000002</v>
      </c>
    </row>
    <row r="247" spans="1:6" ht="32.25" customHeight="1">
      <c r="A247" s="59">
        <v>1240520410</v>
      </c>
      <c r="B247" s="59">
        <v>860</v>
      </c>
      <c r="C247" s="60" t="s">
        <v>307</v>
      </c>
      <c r="D247" s="49">
        <f>'№5 '!E76</f>
        <v>88.6</v>
      </c>
      <c r="E247" s="49">
        <f>'№5 '!F76</f>
        <v>88.6</v>
      </c>
      <c r="F247" s="49">
        <f>'№5 '!G76</f>
        <v>88.6</v>
      </c>
    </row>
    <row r="248" spans="1:6" ht="31.5">
      <c r="A248" s="59">
        <v>1240520460</v>
      </c>
      <c r="B248" s="59"/>
      <c r="C248" s="60" t="s">
        <v>205</v>
      </c>
      <c r="D248" s="49">
        <f>D249</f>
        <v>515.4</v>
      </c>
      <c r="E248" s="49">
        <f aca="true" t="shared" si="101" ref="E248:F249">E249</f>
        <v>515.4</v>
      </c>
      <c r="F248" s="49">
        <f t="shared" si="101"/>
        <v>515.4</v>
      </c>
    </row>
    <row r="249" spans="1:6" ht="31.5">
      <c r="A249" s="59">
        <v>1240520460</v>
      </c>
      <c r="B249" s="61" t="s">
        <v>75</v>
      </c>
      <c r="C249" s="60" t="s">
        <v>110</v>
      </c>
      <c r="D249" s="49">
        <f>D250</f>
        <v>515.4</v>
      </c>
      <c r="E249" s="49">
        <f t="shared" si="101"/>
        <v>515.4</v>
      </c>
      <c r="F249" s="49">
        <f t="shared" si="101"/>
        <v>515.4</v>
      </c>
    </row>
    <row r="250" spans="1:6" ht="34.15" customHeight="1">
      <c r="A250" s="59">
        <v>1240520460</v>
      </c>
      <c r="B250" s="59">
        <v>240</v>
      </c>
      <c r="C250" s="31" t="s">
        <v>469</v>
      </c>
      <c r="D250" s="49">
        <f>'№5 '!E98</f>
        <v>515.4</v>
      </c>
      <c r="E250" s="49">
        <f>'№5 '!F98</f>
        <v>515.4</v>
      </c>
      <c r="F250" s="49">
        <f>'№5 '!G98</f>
        <v>515.4</v>
      </c>
    </row>
    <row r="251" spans="1:6" ht="12.75">
      <c r="A251" s="84" t="s">
        <v>173</v>
      </c>
      <c r="B251" s="11"/>
      <c r="C251" s="60" t="s">
        <v>172</v>
      </c>
      <c r="D251" s="49">
        <f>D252+D255+D258+D261</f>
        <v>146.6</v>
      </c>
      <c r="E251" s="49">
        <f aca="true" t="shared" si="102" ref="E251:F251">E252+E255+E258+E261</f>
        <v>124.4</v>
      </c>
      <c r="F251" s="49">
        <f t="shared" si="102"/>
        <v>124.4</v>
      </c>
    </row>
    <row r="252" spans="1:6" ht="12.75">
      <c r="A252" s="11" t="s">
        <v>275</v>
      </c>
      <c r="B252" s="13"/>
      <c r="C252" s="60" t="s">
        <v>186</v>
      </c>
      <c r="D252" s="49">
        <f>D253</f>
        <v>74.3</v>
      </c>
      <c r="E252" s="49">
        <f aca="true" t="shared" si="103" ref="E252:F253">E253</f>
        <v>51</v>
      </c>
      <c r="F252" s="49">
        <f t="shared" si="103"/>
        <v>51</v>
      </c>
    </row>
    <row r="253" spans="1:6" ht="31.5">
      <c r="A253" s="11" t="s">
        <v>275</v>
      </c>
      <c r="B253" s="61" t="s">
        <v>112</v>
      </c>
      <c r="C253" s="60" t="s">
        <v>113</v>
      </c>
      <c r="D253" s="49">
        <f>D254</f>
        <v>74.3</v>
      </c>
      <c r="E253" s="49">
        <f t="shared" si="103"/>
        <v>51</v>
      </c>
      <c r="F253" s="49">
        <f t="shared" si="103"/>
        <v>51</v>
      </c>
    </row>
    <row r="254" spans="1:6" ht="12.75">
      <c r="A254" s="11" t="s">
        <v>275</v>
      </c>
      <c r="B254" s="59">
        <v>610</v>
      </c>
      <c r="C254" s="60" t="s">
        <v>130</v>
      </c>
      <c r="D254" s="49">
        <f>'№5 '!E495</f>
        <v>74.3</v>
      </c>
      <c r="E254" s="49">
        <f>'№5 '!F495</f>
        <v>51</v>
      </c>
      <c r="F254" s="49">
        <f>'№5 '!G495</f>
        <v>51</v>
      </c>
    </row>
    <row r="255" spans="1:6" ht="20.25" customHeight="1">
      <c r="A255" s="11" t="s">
        <v>175</v>
      </c>
      <c r="B255" s="11"/>
      <c r="C255" s="60" t="s">
        <v>174</v>
      </c>
      <c r="D255" s="49">
        <f>D256</f>
        <v>22.3</v>
      </c>
      <c r="E255" s="49">
        <f aca="true" t="shared" si="104" ref="E255:F256">E256</f>
        <v>22.9</v>
      </c>
      <c r="F255" s="49">
        <f t="shared" si="104"/>
        <v>22.9</v>
      </c>
    </row>
    <row r="256" spans="1:6" ht="31.5">
      <c r="A256" s="11" t="s">
        <v>175</v>
      </c>
      <c r="B256" s="61" t="s">
        <v>75</v>
      </c>
      <c r="C256" s="60" t="s">
        <v>110</v>
      </c>
      <c r="D256" s="49">
        <f>D257</f>
        <v>22.3</v>
      </c>
      <c r="E256" s="49">
        <f t="shared" si="104"/>
        <v>22.9</v>
      </c>
      <c r="F256" s="49">
        <f t="shared" si="104"/>
        <v>22.9</v>
      </c>
    </row>
    <row r="257" spans="1:6" ht="31.9" customHeight="1">
      <c r="A257" s="11" t="s">
        <v>175</v>
      </c>
      <c r="B257" s="59">
        <v>240</v>
      </c>
      <c r="C257" s="31" t="s">
        <v>469</v>
      </c>
      <c r="D257" s="49">
        <f>'№5 '!E498</f>
        <v>22.3</v>
      </c>
      <c r="E257" s="49">
        <f>'№5 '!F498</f>
        <v>22.9</v>
      </c>
      <c r="F257" s="49">
        <f>'№5 '!G498</f>
        <v>22.9</v>
      </c>
    </row>
    <row r="258" spans="1:6" ht="16.5" customHeight="1">
      <c r="A258" s="11" t="s">
        <v>177</v>
      </c>
      <c r="B258" s="11"/>
      <c r="C258" s="60" t="s">
        <v>176</v>
      </c>
      <c r="D258" s="49">
        <f>D259</f>
        <v>14</v>
      </c>
      <c r="E258" s="49">
        <f aca="true" t="shared" si="105" ref="E258:F258">E259</f>
        <v>14.5</v>
      </c>
      <c r="F258" s="49">
        <f t="shared" si="105"/>
        <v>14.5</v>
      </c>
    </row>
    <row r="259" spans="1:6" ht="31.5">
      <c r="A259" s="11" t="s">
        <v>177</v>
      </c>
      <c r="B259" s="61" t="s">
        <v>75</v>
      </c>
      <c r="C259" s="60" t="s">
        <v>110</v>
      </c>
      <c r="D259" s="49">
        <f>D260</f>
        <v>14</v>
      </c>
      <c r="E259" s="49">
        <f aca="true" t="shared" si="106" ref="E259:F259">E260</f>
        <v>14.5</v>
      </c>
      <c r="F259" s="49">
        <f t="shared" si="106"/>
        <v>14.5</v>
      </c>
    </row>
    <row r="260" spans="1:6" ht="35.45" customHeight="1">
      <c r="A260" s="11" t="s">
        <v>177</v>
      </c>
      <c r="B260" s="59">
        <v>240</v>
      </c>
      <c r="C260" s="31" t="s">
        <v>469</v>
      </c>
      <c r="D260" s="49">
        <f>'№5 '!E501</f>
        <v>14</v>
      </c>
      <c r="E260" s="49">
        <f>'№5 '!F501</f>
        <v>14.5</v>
      </c>
      <c r="F260" s="49">
        <f>'№5 '!G501</f>
        <v>14.5</v>
      </c>
    </row>
    <row r="261" spans="1:6" ht="12.75">
      <c r="A261" s="11" t="s">
        <v>278</v>
      </c>
      <c r="B261" s="11"/>
      <c r="C261" s="60" t="s">
        <v>178</v>
      </c>
      <c r="D261" s="49">
        <f>D262</f>
        <v>36</v>
      </c>
      <c r="E261" s="49">
        <f aca="true" t="shared" si="107" ref="E261:F261">E262</f>
        <v>36</v>
      </c>
      <c r="F261" s="49">
        <f t="shared" si="107"/>
        <v>36</v>
      </c>
    </row>
    <row r="262" spans="1:6" ht="12.75">
      <c r="A262" s="11" t="s">
        <v>278</v>
      </c>
      <c r="B262" s="61" t="s">
        <v>79</v>
      </c>
      <c r="C262" s="60" t="s">
        <v>80</v>
      </c>
      <c r="D262" s="49">
        <f>D263</f>
        <v>36</v>
      </c>
      <c r="E262" s="49">
        <f aca="true" t="shared" si="108" ref="E262:F262">E263</f>
        <v>36</v>
      </c>
      <c r="F262" s="49">
        <f t="shared" si="108"/>
        <v>36</v>
      </c>
    </row>
    <row r="263" spans="1:6" ht="12.75">
      <c r="A263" s="11" t="s">
        <v>278</v>
      </c>
      <c r="B263" s="11" t="s">
        <v>179</v>
      </c>
      <c r="C263" s="60" t="s">
        <v>180</v>
      </c>
      <c r="D263" s="49">
        <f>'№5 '!E504</f>
        <v>36</v>
      </c>
      <c r="E263" s="49">
        <f>'№5 '!F504</f>
        <v>36</v>
      </c>
      <c r="F263" s="49">
        <f>'№5 '!G504</f>
        <v>36</v>
      </c>
    </row>
    <row r="264" spans="1:6" ht="49.9" customHeight="1">
      <c r="A264" s="40">
        <v>1300000000</v>
      </c>
      <c r="B264" s="19"/>
      <c r="C264" s="33" t="s">
        <v>248</v>
      </c>
      <c r="D264" s="48">
        <f>D265+D280+D310</f>
        <v>35762.4</v>
      </c>
      <c r="E264" s="48">
        <f>E265+E280+E310</f>
        <v>15043.8</v>
      </c>
      <c r="F264" s="48">
        <f>F265+F280+F310</f>
        <v>15043.8</v>
      </c>
    </row>
    <row r="265" spans="1:6" ht="47.25">
      <c r="A265" s="61">
        <v>1310000000</v>
      </c>
      <c r="B265" s="59"/>
      <c r="C265" s="163" t="s">
        <v>299</v>
      </c>
      <c r="D265" s="49">
        <f>D266+D273</f>
        <v>16120.2</v>
      </c>
      <c r="E265" s="49">
        <f aca="true" t="shared" si="109" ref="E265:F265">E266+E273</f>
        <v>0</v>
      </c>
      <c r="F265" s="49">
        <f t="shared" si="109"/>
        <v>0</v>
      </c>
    </row>
    <row r="266" spans="1:6" ht="31.5">
      <c r="A266" s="61">
        <v>1310100000</v>
      </c>
      <c r="B266" s="31"/>
      <c r="C266" s="60" t="s">
        <v>158</v>
      </c>
      <c r="D266" s="49">
        <f>D270+D267</f>
        <v>7346.2</v>
      </c>
      <c r="E266" s="49">
        <f aca="true" t="shared" si="110" ref="E266:F266">E270+E267</f>
        <v>0</v>
      </c>
      <c r="F266" s="49">
        <f t="shared" si="110"/>
        <v>0</v>
      </c>
    </row>
    <row r="267" spans="1:6" ht="12.75">
      <c r="A267" s="92">
        <v>1310120100</v>
      </c>
      <c r="B267" s="92"/>
      <c r="C267" s="52" t="s">
        <v>373</v>
      </c>
      <c r="D267" s="49">
        <f>D268</f>
        <v>155.4</v>
      </c>
      <c r="E267" s="49">
        <f aca="true" t="shared" si="111" ref="E267:F268">E268</f>
        <v>0</v>
      </c>
      <c r="F267" s="49">
        <f t="shared" si="111"/>
        <v>0</v>
      </c>
    </row>
    <row r="268" spans="1:6" ht="31.5">
      <c r="A268" s="92">
        <v>1310120100</v>
      </c>
      <c r="B268" s="94" t="s">
        <v>75</v>
      </c>
      <c r="C268" s="93" t="s">
        <v>110</v>
      </c>
      <c r="D268" s="49">
        <f>D269</f>
        <v>155.4</v>
      </c>
      <c r="E268" s="49">
        <f t="shared" si="111"/>
        <v>0</v>
      </c>
      <c r="F268" s="49">
        <f t="shared" si="111"/>
        <v>0</v>
      </c>
    </row>
    <row r="269" spans="1:6" ht="33.6" customHeight="1">
      <c r="A269" s="92">
        <v>1310120100</v>
      </c>
      <c r="B269" s="92">
        <v>240</v>
      </c>
      <c r="C269" s="31" t="s">
        <v>469</v>
      </c>
      <c r="D269" s="49">
        <f>'№5 '!E284</f>
        <v>155.4</v>
      </c>
      <c r="E269" s="49">
        <f>'№5 '!F284</f>
        <v>0</v>
      </c>
      <c r="F269" s="49">
        <f>'№5 '!G284</f>
        <v>0</v>
      </c>
    </row>
    <row r="270" spans="1:6" ht="12.75">
      <c r="A270" s="59" t="s">
        <v>159</v>
      </c>
      <c r="B270" s="59"/>
      <c r="C270" s="65" t="s">
        <v>355</v>
      </c>
      <c r="D270" s="49">
        <f>D271</f>
        <v>7190.8</v>
      </c>
      <c r="E270" s="49">
        <f aca="true" t="shared" si="112" ref="E270:F271">E271</f>
        <v>0</v>
      </c>
      <c r="F270" s="49">
        <f t="shared" si="112"/>
        <v>0</v>
      </c>
    </row>
    <row r="271" spans="1:6" ht="31.5">
      <c r="A271" s="59" t="s">
        <v>159</v>
      </c>
      <c r="B271" s="61" t="s">
        <v>75</v>
      </c>
      <c r="C271" s="60" t="s">
        <v>110</v>
      </c>
      <c r="D271" s="49">
        <f>D272</f>
        <v>7190.8</v>
      </c>
      <c r="E271" s="49">
        <f t="shared" si="112"/>
        <v>0</v>
      </c>
      <c r="F271" s="49">
        <f t="shared" si="112"/>
        <v>0</v>
      </c>
    </row>
    <row r="272" spans="1:6" ht="31.9" customHeight="1">
      <c r="A272" s="59" t="s">
        <v>159</v>
      </c>
      <c r="B272" s="59">
        <v>240</v>
      </c>
      <c r="C272" s="31" t="s">
        <v>469</v>
      </c>
      <c r="D272" s="49">
        <f>'№5 '!E287</f>
        <v>7190.8</v>
      </c>
      <c r="E272" s="49">
        <f>'№5 '!F287</f>
        <v>0</v>
      </c>
      <c r="F272" s="49">
        <f>'№5 '!G287</f>
        <v>0</v>
      </c>
    </row>
    <row r="273" spans="1:6" ht="33.6" customHeight="1">
      <c r="A273" s="61">
        <v>1310200000</v>
      </c>
      <c r="B273" s="59"/>
      <c r="C273" s="60" t="s">
        <v>160</v>
      </c>
      <c r="D273" s="49">
        <f>D277+D274</f>
        <v>8774</v>
      </c>
      <c r="E273" s="49">
        <f aca="true" t="shared" si="113" ref="E273:F273">E277+E274</f>
        <v>0</v>
      </c>
      <c r="F273" s="49">
        <f t="shared" si="113"/>
        <v>0</v>
      </c>
    </row>
    <row r="274" spans="1:6" ht="14.25" customHeight="1">
      <c r="A274" s="96">
        <v>1310220100</v>
      </c>
      <c r="B274" s="96"/>
      <c r="C274" s="52" t="s">
        <v>373</v>
      </c>
      <c r="D274" s="49">
        <f>D275</f>
        <v>181.8</v>
      </c>
      <c r="E274" s="49">
        <f aca="true" t="shared" si="114" ref="E274:F275">E275</f>
        <v>0</v>
      </c>
      <c r="F274" s="49">
        <f t="shared" si="114"/>
        <v>0</v>
      </c>
    </row>
    <row r="275" spans="1:6" ht="33.6" customHeight="1">
      <c r="A275" s="96">
        <v>1310220100</v>
      </c>
      <c r="B275" s="98" t="s">
        <v>75</v>
      </c>
      <c r="C275" s="97" t="s">
        <v>110</v>
      </c>
      <c r="D275" s="49">
        <f>D276</f>
        <v>181.8</v>
      </c>
      <c r="E275" s="49">
        <f t="shared" si="114"/>
        <v>0</v>
      </c>
      <c r="F275" s="49">
        <f t="shared" si="114"/>
        <v>0</v>
      </c>
    </row>
    <row r="276" spans="1:6" ht="33.6" customHeight="1">
      <c r="A276" s="96">
        <v>1310220100</v>
      </c>
      <c r="B276" s="96">
        <v>240</v>
      </c>
      <c r="C276" s="31" t="s">
        <v>469</v>
      </c>
      <c r="D276" s="49">
        <f>'№5 '!E291</f>
        <v>181.8</v>
      </c>
      <c r="E276" s="49">
        <f>'№5 '!F291</f>
        <v>0</v>
      </c>
      <c r="F276" s="49">
        <f>'№5 '!G291</f>
        <v>0</v>
      </c>
    </row>
    <row r="277" spans="1:6" ht="12.75">
      <c r="A277" s="59" t="s">
        <v>161</v>
      </c>
      <c r="B277" s="59"/>
      <c r="C277" s="65" t="s">
        <v>355</v>
      </c>
      <c r="D277" s="49">
        <f>D278</f>
        <v>8592.2</v>
      </c>
      <c r="E277" s="49">
        <f aca="true" t="shared" si="115" ref="E277:F278">E278</f>
        <v>0</v>
      </c>
      <c r="F277" s="49">
        <f t="shared" si="115"/>
        <v>0</v>
      </c>
    </row>
    <row r="278" spans="1:6" ht="31.5">
      <c r="A278" s="59" t="s">
        <v>161</v>
      </c>
      <c r="B278" s="61" t="s">
        <v>75</v>
      </c>
      <c r="C278" s="60" t="s">
        <v>110</v>
      </c>
      <c r="D278" s="49">
        <f>D279</f>
        <v>8592.2</v>
      </c>
      <c r="E278" s="49">
        <f t="shared" si="115"/>
        <v>0</v>
      </c>
      <c r="F278" s="49">
        <f t="shared" si="115"/>
        <v>0</v>
      </c>
    </row>
    <row r="279" spans="1:6" ht="33.6" customHeight="1">
      <c r="A279" s="59" t="s">
        <v>161</v>
      </c>
      <c r="B279" s="59">
        <v>240</v>
      </c>
      <c r="C279" s="31" t="s">
        <v>469</v>
      </c>
      <c r="D279" s="49">
        <f>'№5 '!E294</f>
        <v>8592.2</v>
      </c>
      <c r="E279" s="49">
        <f>'№5 '!F294</f>
        <v>0</v>
      </c>
      <c r="F279" s="49">
        <f>'№5 '!G294</f>
        <v>0</v>
      </c>
    </row>
    <row r="280" spans="1:6" ht="12.75">
      <c r="A280" s="61">
        <v>1320000000</v>
      </c>
      <c r="B280" s="59"/>
      <c r="C280" s="97" t="s">
        <v>255</v>
      </c>
      <c r="D280" s="49">
        <f>D281+D291</f>
        <v>18972.399999999998</v>
      </c>
      <c r="E280" s="49">
        <f aca="true" t="shared" si="116" ref="E280:F280">E281+E291</f>
        <v>14349.3</v>
      </c>
      <c r="F280" s="49">
        <f t="shared" si="116"/>
        <v>14349.3</v>
      </c>
    </row>
    <row r="281" spans="1:6" ht="31.5">
      <c r="A281" s="61">
        <v>1320100000</v>
      </c>
      <c r="B281" s="59"/>
      <c r="C281" s="60" t="s">
        <v>256</v>
      </c>
      <c r="D281" s="49">
        <f>D288+D282+D285</f>
        <v>2790.7000000000003</v>
      </c>
      <c r="E281" s="49">
        <f aca="true" t="shared" si="117" ref="E281:F281">E288+E282+E285</f>
        <v>0</v>
      </c>
      <c r="F281" s="49">
        <f t="shared" si="117"/>
        <v>0</v>
      </c>
    </row>
    <row r="282" spans="1:6" ht="31.5">
      <c r="A282" s="84">
        <v>1320110430</v>
      </c>
      <c r="B282" s="84"/>
      <c r="C282" s="85" t="s">
        <v>361</v>
      </c>
      <c r="D282" s="49">
        <f>D283</f>
        <v>1162</v>
      </c>
      <c r="E282" s="49">
        <f aca="true" t="shared" si="118" ref="E282:F283">E283</f>
        <v>0</v>
      </c>
      <c r="F282" s="49">
        <f t="shared" si="118"/>
        <v>0</v>
      </c>
    </row>
    <row r="283" spans="1:6" ht="31.5">
      <c r="A283" s="84">
        <v>1320110430</v>
      </c>
      <c r="B283" s="86" t="s">
        <v>75</v>
      </c>
      <c r="C283" s="85" t="s">
        <v>110</v>
      </c>
      <c r="D283" s="49">
        <f>D284</f>
        <v>1162</v>
      </c>
      <c r="E283" s="49">
        <f t="shared" si="118"/>
        <v>0</v>
      </c>
      <c r="F283" s="49">
        <f t="shared" si="118"/>
        <v>0</v>
      </c>
    </row>
    <row r="284" spans="1:6" ht="31.15" customHeight="1">
      <c r="A284" s="84">
        <v>1320110430</v>
      </c>
      <c r="B284" s="84">
        <v>240</v>
      </c>
      <c r="C284" s="31" t="s">
        <v>469</v>
      </c>
      <c r="D284" s="49">
        <f>'№5 '!E299</f>
        <v>1162</v>
      </c>
      <c r="E284" s="49">
        <f>'№5 '!F299</f>
        <v>0</v>
      </c>
      <c r="F284" s="49">
        <f>'№5 '!G299</f>
        <v>0</v>
      </c>
    </row>
    <row r="285" spans="1:6" ht="12.75">
      <c r="A285" s="96">
        <v>1320120100</v>
      </c>
      <c r="B285" s="96"/>
      <c r="C285" s="97" t="s">
        <v>373</v>
      </c>
      <c r="D285" s="49">
        <f>D286</f>
        <v>53.400000000000006</v>
      </c>
      <c r="E285" s="49">
        <f aca="true" t="shared" si="119" ref="E285:F286">E286</f>
        <v>0</v>
      </c>
      <c r="F285" s="49">
        <f t="shared" si="119"/>
        <v>0</v>
      </c>
    </row>
    <row r="286" spans="1:6" ht="31.5">
      <c r="A286" s="96">
        <v>1320120100</v>
      </c>
      <c r="B286" s="98" t="s">
        <v>75</v>
      </c>
      <c r="C286" s="97" t="s">
        <v>110</v>
      </c>
      <c r="D286" s="49">
        <f>D287</f>
        <v>53.400000000000006</v>
      </c>
      <c r="E286" s="49">
        <f t="shared" si="119"/>
        <v>0</v>
      </c>
      <c r="F286" s="49">
        <f t="shared" si="119"/>
        <v>0</v>
      </c>
    </row>
    <row r="287" spans="1:6" ht="33.6" customHeight="1">
      <c r="A287" s="96">
        <v>1320120100</v>
      </c>
      <c r="B287" s="96">
        <v>240</v>
      </c>
      <c r="C287" s="31" t="s">
        <v>469</v>
      </c>
      <c r="D287" s="49">
        <f>'№5 '!E302</f>
        <v>53.400000000000006</v>
      </c>
      <c r="E287" s="49">
        <f>'№5 '!F302</f>
        <v>0</v>
      </c>
      <c r="F287" s="49">
        <f>'№5 '!G302</f>
        <v>0</v>
      </c>
    </row>
    <row r="288" spans="1:6" ht="31.5">
      <c r="A288" s="59" t="s">
        <v>162</v>
      </c>
      <c r="B288" s="59"/>
      <c r="C288" s="65" t="s">
        <v>325</v>
      </c>
      <c r="D288" s="49">
        <f>D289</f>
        <v>1575.3</v>
      </c>
      <c r="E288" s="49">
        <f aca="true" t="shared" si="120" ref="E288:F289">E289</f>
        <v>0</v>
      </c>
      <c r="F288" s="49">
        <f t="shared" si="120"/>
        <v>0</v>
      </c>
    </row>
    <row r="289" spans="1:6" ht="31.5">
      <c r="A289" s="59" t="s">
        <v>162</v>
      </c>
      <c r="B289" s="61" t="s">
        <v>75</v>
      </c>
      <c r="C289" s="60" t="s">
        <v>110</v>
      </c>
      <c r="D289" s="49">
        <f>D290</f>
        <v>1575.3</v>
      </c>
      <c r="E289" s="49">
        <f t="shared" si="120"/>
        <v>0</v>
      </c>
      <c r="F289" s="49">
        <f t="shared" si="120"/>
        <v>0</v>
      </c>
    </row>
    <row r="290" spans="1:6" ht="33.6" customHeight="1">
      <c r="A290" s="59" t="s">
        <v>162</v>
      </c>
      <c r="B290" s="59">
        <v>240</v>
      </c>
      <c r="C290" s="31" t="s">
        <v>469</v>
      </c>
      <c r="D290" s="49">
        <f>'№5 '!E305</f>
        <v>1575.3</v>
      </c>
      <c r="E290" s="49">
        <f>'№5 '!F305</f>
        <v>0</v>
      </c>
      <c r="F290" s="49">
        <f>'№5 '!G305</f>
        <v>0</v>
      </c>
    </row>
    <row r="291" spans="1:6" ht="18" customHeight="1">
      <c r="A291" s="61">
        <v>1320200000</v>
      </c>
      <c r="B291" s="59"/>
      <c r="C291" s="60" t="s">
        <v>163</v>
      </c>
      <c r="D291" s="49">
        <f>D292+D295+D298+D301+D307+D304</f>
        <v>16181.699999999999</v>
      </c>
      <c r="E291" s="49">
        <f aca="true" t="shared" si="121" ref="E291:F291">E292+E295+E298+E301+E307+E304</f>
        <v>14349.3</v>
      </c>
      <c r="F291" s="49">
        <f t="shared" si="121"/>
        <v>14349.3</v>
      </c>
    </row>
    <row r="292" spans="1:6" ht="12.75">
      <c r="A292" s="59">
        <v>1320220050</v>
      </c>
      <c r="B292" s="59"/>
      <c r="C292" s="60" t="s">
        <v>164</v>
      </c>
      <c r="D292" s="49">
        <f>D293</f>
        <v>13686.9</v>
      </c>
      <c r="E292" s="49">
        <f aca="true" t="shared" si="122" ref="E292:F293">E293</f>
        <v>11250</v>
      </c>
      <c r="F292" s="49">
        <f t="shared" si="122"/>
        <v>11250</v>
      </c>
    </row>
    <row r="293" spans="1:6" ht="31.5">
      <c r="A293" s="59">
        <v>1320220050</v>
      </c>
      <c r="B293" s="61" t="s">
        <v>75</v>
      </c>
      <c r="C293" s="60" t="s">
        <v>110</v>
      </c>
      <c r="D293" s="49">
        <f>D294</f>
        <v>13686.9</v>
      </c>
      <c r="E293" s="49">
        <f t="shared" si="122"/>
        <v>11250</v>
      </c>
      <c r="F293" s="49">
        <f t="shared" si="122"/>
        <v>11250</v>
      </c>
    </row>
    <row r="294" spans="1:6" ht="34.9" customHeight="1">
      <c r="A294" s="59">
        <v>1320220050</v>
      </c>
      <c r="B294" s="59">
        <v>240</v>
      </c>
      <c r="C294" s="31" t="s">
        <v>469</v>
      </c>
      <c r="D294" s="49">
        <f>'№5 '!E309</f>
        <v>13686.9</v>
      </c>
      <c r="E294" s="49">
        <f>'№5 '!F309</f>
        <v>11250</v>
      </c>
      <c r="F294" s="49">
        <f>'№5 '!G309</f>
        <v>11250</v>
      </c>
    </row>
    <row r="295" spans="1:6" ht="12.75">
      <c r="A295" s="59">
        <v>1320220060</v>
      </c>
      <c r="B295" s="59"/>
      <c r="C295" s="60" t="s">
        <v>165</v>
      </c>
      <c r="D295" s="49">
        <f>D296</f>
        <v>193</v>
      </c>
      <c r="E295" s="49">
        <f aca="true" t="shared" si="123" ref="E295:F296">E296</f>
        <v>900</v>
      </c>
      <c r="F295" s="49">
        <f t="shared" si="123"/>
        <v>900</v>
      </c>
    </row>
    <row r="296" spans="1:6" ht="31.5">
      <c r="A296" s="59">
        <v>1320220060</v>
      </c>
      <c r="B296" s="61" t="s">
        <v>75</v>
      </c>
      <c r="C296" s="60" t="s">
        <v>110</v>
      </c>
      <c r="D296" s="49">
        <f>D297</f>
        <v>193</v>
      </c>
      <c r="E296" s="49">
        <f t="shared" si="123"/>
        <v>900</v>
      </c>
      <c r="F296" s="49">
        <f t="shared" si="123"/>
        <v>900</v>
      </c>
    </row>
    <row r="297" spans="1:6" ht="33.6" customHeight="1">
      <c r="A297" s="59">
        <v>1320220060</v>
      </c>
      <c r="B297" s="59">
        <v>240</v>
      </c>
      <c r="C297" s="31" t="s">
        <v>469</v>
      </c>
      <c r="D297" s="49">
        <f>'№5 '!E312</f>
        <v>193</v>
      </c>
      <c r="E297" s="49">
        <f>'№5 '!F312</f>
        <v>900</v>
      </c>
      <c r="F297" s="49">
        <f>'№5 '!G312</f>
        <v>900</v>
      </c>
    </row>
    <row r="298" spans="1:6" ht="12.75">
      <c r="A298" s="59">
        <v>1320220070</v>
      </c>
      <c r="B298" s="59"/>
      <c r="C298" s="60" t="s">
        <v>166</v>
      </c>
      <c r="D298" s="49">
        <f>D299</f>
        <v>2113.9</v>
      </c>
      <c r="E298" s="49">
        <f aca="true" t="shared" si="124" ref="E298:F299">E299</f>
        <v>1795.4</v>
      </c>
      <c r="F298" s="49">
        <f t="shared" si="124"/>
        <v>1795.4</v>
      </c>
    </row>
    <row r="299" spans="1:6" ht="31.5">
      <c r="A299" s="59">
        <v>1320220070</v>
      </c>
      <c r="B299" s="61" t="s">
        <v>75</v>
      </c>
      <c r="C299" s="60" t="s">
        <v>110</v>
      </c>
      <c r="D299" s="49">
        <f>D300</f>
        <v>2113.9</v>
      </c>
      <c r="E299" s="49">
        <f t="shared" si="124"/>
        <v>1795.4</v>
      </c>
      <c r="F299" s="49">
        <f t="shared" si="124"/>
        <v>1795.4</v>
      </c>
    </row>
    <row r="300" spans="1:6" ht="30" customHeight="1">
      <c r="A300" s="59">
        <v>1320220070</v>
      </c>
      <c r="B300" s="59">
        <v>240</v>
      </c>
      <c r="C300" s="31" t="s">
        <v>469</v>
      </c>
      <c r="D300" s="49">
        <f>'№5 '!E315</f>
        <v>2113.9</v>
      </c>
      <c r="E300" s="49">
        <f>'№5 '!F315</f>
        <v>1795.4</v>
      </c>
      <c r="F300" s="49">
        <f>'№5 '!G315</f>
        <v>1795.4</v>
      </c>
    </row>
    <row r="301" spans="1:6" ht="12.75">
      <c r="A301" s="59">
        <v>1320220080</v>
      </c>
      <c r="B301" s="59"/>
      <c r="C301" s="60" t="s">
        <v>167</v>
      </c>
      <c r="D301" s="49">
        <f>D302</f>
        <v>145.9</v>
      </c>
      <c r="E301" s="49">
        <f aca="true" t="shared" si="125" ref="E301:F302">E302</f>
        <v>145.9</v>
      </c>
      <c r="F301" s="49">
        <f t="shared" si="125"/>
        <v>145.9</v>
      </c>
    </row>
    <row r="302" spans="1:6" ht="31.5">
      <c r="A302" s="59">
        <v>1320220080</v>
      </c>
      <c r="B302" s="61" t="s">
        <v>75</v>
      </c>
      <c r="C302" s="60" t="s">
        <v>110</v>
      </c>
      <c r="D302" s="49">
        <f>D303</f>
        <v>145.9</v>
      </c>
      <c r="E302" s="49">
        <f t="shared" si="125"/>
        <v>145.9</v>
      </c>
      <c r="F302" s="49">
        <f t="shared" si="125"/>
        <v>145.9</v>
      </c>
    </row>
    <row r="303" spans="1:6" ht="34.9" customHeight="1">
      <c r="A303" s="59">
        <v>1320220080</v>
      </c>
      <c r="B303" s="59">
        <v>240</v>
      </c>
      <c r="C303" s="31" t="s">
        <v>469</v>
      </c>
      <c r="D303" s="49">
        <f>'№5 '!E318</f>
        <v>145.9</v>
      </c>
      <c r="E303" s="49">
        <f>'№5 '!F318</f>
        <v>145.9</v>
      </c>
      <c r="F303" s="49">
        <f>'№5 '!G318</f>
        <v>145.9</v>
      </c>
    </row>
    <row r="304" spans="1:6" ht="34.9" customHeight="1">
      <c r="A304" s="164">
        <v>1320220090</v>
      </c>
      <c r="B304" s="170"/>
      <c r="C304" s="171" t="s">
        <v>442</v>
      </c>
      <c r="D304" s="49">
        <f>D305</f>
        <v>42</v>
      </c>
      <c r="E304" s="49">
        <f aca="true" t="shared" si="126" ref="E304:F305">E305</f>
        <v>0</v>
      </c>
      <c r="F304" s="49">
        <f t="shared" si="126"/>
        <v>0</v>
      </c>
    </row>
    <row r="305" spans="1:6" ht="34.9" customHeight="1">
      <c r="A305" s="164">
        <v>1320220090</v>
      </c>
      <c r="B305" s="166" t="s">
        <v>75</v>
      </c>
      <c r="C305" s="165" t="s">
        <v>110</v>
      </c>
      <c r="D305" s="49">
        <f>D306</f>
        <v>42</v>
      </c>
      <c r="E305" s="49">
        <f t="shared" si="126"/>
        <v>0</v>
      </c>
      <c r="F305" s="49">
        <f t="shared" si="126"/>
        <v>0</v>
      </c>
    </row>
    <row r="306" spans="1:6" ht="33" customHeight="1">
      <c r="A306" s="164">
        <v>1320220090</v>
      </c>
      <c r="B306" s="164">
        <v>240</v>
      </c>
      <c r="C306" s="31" t="s">
        <v>469</v>
      </c>
      <c r="D306" s="49">
        <f>'№5 '!E321</f>
        <v>42</v>
      </c>
      <c r="E306" s="49">
        <f>'№5 '!F321</f>
        <v>0</v>
      </c>
      <c r="F306" s="49">
        <f>'№5 '!G321</f>
        <v>0</v>
      </c>
    </row>
    <row r="307" spans="1:6" ht="19.9" customHeight="1">
      <c r="A307" s="59" t="s">
        <v>169</v>
      </c>
      <c r="B307" s="59"/>
      <c r="C307" s="60" t="s">
        <v>168</v>
      </c>
      <c r="D307" s="49">
        <f>D308</f>
        <v>0</v>
      </c>
      <c r="E307" s="49">
        <f aca="true" t="shared" si="127" ref="E307:F308">E308</f>
        <v>258</v>
      </c>
      <c r="F307" s="49">
        <f t="shared" si="127"/>
        <v>258</v>
      </c>
    </row>
    <row r="308" spans="1:6" ht="31.5">
      <c r="A308" s="59" t="s">
        <v>169</v>
      </c>
      <c r="B308" s="61" t="s">
        <v>75</v>
      </c>
      <c r="C308" s="60" t="s">
        <v>110</v>
      </c>
      <c r="D308" s="49">
        <f>D309</f>
        <v>0</v>
      </c>
      <c r="E308" s="49">
        <f t="shared" si="127"/>
        <v>258</v>
      </c>
      <c r="F308" s="49">
        <f t="shared" si="127"/>
        <v>258</v>
      </c>
    </row>
    <row r="309" spans="1:6" ht="35.45" customHeight="1">
      <c r="A309" s="59" t="s">
        <v>169</v>
      </c>
      <c r="B309" s="59">
        <v>240</v>
      </c>
      <c r="C309" s="31" t="s">
        <v>469</v>
      </c>
      <c r="D309" s="49">
        <f>'№5 '!E324</f>
        <v>0</v>
      </c>
      <c r="E309" s="49">
        <f>'№5 '!F324</f>
        <v>258</v>
      </c>
      <c r="F309" s="49">
        <f>'№5 '!G324</f>
        <v>258</v>
      </c>
    </row>
    <row r="310" spans="1:6" ht="14.25" customHeight="1">
      <c r="A310" s="61">
        <v>1330000000</v>
      </c>
      <c r="B310" s="59"/>
      <c r="C310" s="60" t="s">
        <v>152</v>
      </c>
      <c r="D310" s="49">
        <f>D315+D311</f>
        <v>669.8</v>
      </c>
      <c r="E310" s="49">
        <f>E315+E311</f>
        <v>694.5</v>
      </c>
      <c r="F310" s="49">
        <f>F315+F311</f>
        <v>694.5</v>
      </c>
    </row>
    <row r="311" spans="1:6" ht="31.5">
      <c r="A311" s="61">
        <v>1330100000</v>
      </c>
      <c r="B311" s="59"/>
      <c r="C311" s="31" t="s">
        <v>249</v>
      </c>
      <c r="D311" s="49">
        <f>D312</f>
        <v>404</v>
      </c>
      <c r="E311" s="49">
        <f aca="true" t="shared" si="128" ref="E311:F313">E312</f>
        <v>390.5</v>
      </c>
      <c r="F311" s="49">
        <f t="shared" si="128"/>
        <v>390.5</v>
      </c>
    </row>
    <row r="312" spans="1:6" ht="78.75">
      <c r="A312" s="61">
        <v>1330110550</v>
      </c>
      <c r="B312" s="59"/>
      <c r="C312" s="60" t="s">
        <v>326</v>
      </c>
      <c r="D312" s="49">
        <f>D313</f>
        <v>404</v>
      </c>
      <c r="E312" s="49">
        <f t="shared" si="128"/>
        <v>390.5</v>
      </c>
      <c r="F312" s="49">
        <f t="shared" si="128"/>
        <v>390.5</v>
      </c>
    </row>
    <row r="313" spans="1:6" ht="31.5">
      <c r="A313" s="61">
        <v>1330110550</v>
      </c>
      <c r="B313" s="61" t="s">
        <v>75</v>
      </c>
      <c r="C313" s="60" t="s">
        <v>110</v>
      </c>
      <c r="D313" s="49">
        <f>D314</f>
        <v>404</v>
      </c>
      <c r="E313" s="49">
        <f t="shared" si="128"/>
        <v>390.5</v>
      </c>
      <c r="F313" s="49">
        <f t="shared" si="128"/>
        <v>390.5</v>
      </c>
    </row>
    <row r="314" spans="1:6" ht="32.45" customHeight="1">
      <c r="A314" s="61">
        <v>1330110550</v>
      </c>
      <c r="B314" s="59">
        <v>240</v>
      </c>
      <c r="C314" s="31" t="s">
        <v>469</v>
      </c>
      <c r="D314" s="49">
        <f>'№5 '!E208</f>
        <v>404</v>
      </c>
      <c r="E314" s="49">
        <f>'№5 '!F208</f>
        <v>390.5</v>
      </c>
      <c r="F314" s="49">
        <f>'№5 '!G208</f>
        <v>390.5</v>
      </c>
    </row>
    <row r="315" spans="1:6" ht="47.25">
      <c r="A315" s="61">
        <v>1330200000</v>
      </c>
      <c r="B315" s="59"/>
      <c r="C315" s="60" t="s">
        <v>300</v>
      </c>
      <c r="D315" s="49">
        <f>D316</f>
        <v>265.8</v>
      </c>
      <c r="E315" s="49">
        <f aca="true" t="shared" si="129" ref="E315:F317">E316</f>
        <v>304</v>
      </c>
      <c r="F315" s="49">
        <f t="shared" si="129"/>
        <v>304</v>
      </c>
    </row>
    <row r="316" spans="1:6" ht="12.75">
      <c r="A316" s="61">
        <v>1330220090</v>
      </c>
      <c r="B316" s="59"/>
      <c r="C316" s="60" t="s">
        <v>170</v>
      </c>
      <c r="D316" s="49">
        <f>D317</f>
        <v>265.8</v>
      </c>
      <c r="E316" s="49">
        <f t="shared" si="129"/>
        <v>304</v>
      </c>
      <c r="F316" s="49">
        <f t="shared" si="129"/>
        <v>304</v>
      </c>
    </row>
    <row r="317" spans="1:6" ht="31.5">
      <c r="A317" s="61">
        <v>1330220090</v>
      </c>
      <c r="B317" s="61" t="s">
        <v>75</v>
      </c>
      <c r="C317" s="60" t="s">
        <v>110</v>
      </c>
      <c r="D317" s="49">
        <f>D318</f>
        <v>265.8</v>
      </c>
      <c r="E317" s="49">
        <f t="shared" si="129"/>
        <v>304</v>
      </c>
      <c r="F317" s="49">
        <f t="shared" si="129"/>
        <v>304</v>
      </c>
    </row>
    <row r="318" spans="1:6" ht="31.15" customHeight="1">
      <c r="A318" s="61">
        <v>1330220090</v>
      </c>
      <c r="B318" s="59">
        <v>240</v>
      </c>
      <c r="C318" s="31" t="s">
        <v>469</v>
      </c>
      <c r="D318" s="49">
        <f>'№5 '!E329</f>
        <v>265.8</v>
      </c>
      <c r="E318" s="49">
        <f>'№5 '!F329</f>
        <v>304</v>
      </c>
      <c r="F318" s="49">
        <f>'№5 '!G329</f>
        <v>304</v>
      </c>
    </row>
    <row r="319" spans="1:6" ht="47.25">
      <c r="A319" s="40">
        <v>1400000000</v>
      </c>
      <c r="B319" s="59"/>
      <c r="C319" s="33" t="s">
        <v>250</v>
      </c>
      <c r="D319" s="48">
        <f>D320+D335+D340</f>
        <v>129412.19999999998</v>
      </c>
      <c r="E319" s="48">
        <f aca="true" t="shared" si="130" ref="E319:F319">E320+E335+E340</f>
        <v>19856.2</v>
      </c>
      <c r="F319" s="48">
        <f t="shared" si="130"/>
        <v>8962.2</v>
      </c>
    </row>
    <row r="320" spans="1:6" ht="12.75">
      <c r="A320" s="61">
        <v>1410000000</v>
      </c>
      <c r="B320" s="59"/>
      <c r="C320" s="60" t="s">
        <v>153</v>
      </c>
      <c r="D320" s="49">
        <f>D321+D325</f>
        <v>119788.99999999999</v>
      </c>
      <c r="E320" s="49">
        <f aca="true" t="shared" si="131" ref="E320:F320">E321+E325</f>
        <v>19856.2</v>
      </c>
      <c r="F320" s="49">
        <f t="shared" si="131"/>
        <v>8962.2</v>
      </c>
    </row>
    <row r="321" spans="1:6" ht="12.75">
      <c r="A321" s="61">
        <v>1410100000</v>
      </c>
      <c r="B321" s="31"/>
      <c r="C321" s="60" t="s">
        <v>251</v>
      </c>
      <c r="D321" s="49">
        <f>D322</f>
        <v>23841.7</v>
      </c>
      <c r="E321" s="49">
        <f aca="true" t="shared" si="132" ref="E321:F323">E322</f>
        <v>19856.2</v>
      </c>
      <c r="F321" s="49">
        <f t="shared" si="132"/>
        <v>8962.2</v>
      </c>
    </row>
    <row r="322" spans="1:6" ht="31.5">
      <c r="A322" s="59">
        <v>1410120100</v>
      </c>
      <c r="B322" s="59"/>
      <c r="C322" s="60" t="s">
        <v>154</v>
      </c>
      <c r="D322" s="49">
        <f>D323</f>
        <v>23841.7</v>
      </c>
      <c r="E322" s="49">
        <f t="shared" si="132"/>
        <v>19856.2</v>
      </c>
      <c r="F322" s="49">
        <f t="shared" si="132"/>
        <v>8962.2</v>
      </c>
    </row>
    <row r="323" spans="1:6" ht="31.5">
      <c r="A323" s="59">
        <v>1410120100</v>
      </c>
      <c r="B323" s="61" t="s">
        <v>75</v>
      </c>
      <c r="C323" s="60" t="s">
        <v>110</v>
      </c>
      <c r="D323" s="49">
        <f>D324</f>
        <v>23841.7</v>
      </c>
      <c r="E323" s="49">
        <f t="shared" si="132"/>
        <v>19856.2</v>
      </c>
      <c r="F323" s="49">
        <f t="shared" si="132"/>
        <v>8962.2</v>
      </c>
    </row>
    <row r="324" spans="1:6" ht="29.45" customHeight="1">
      <c r="A324" s="59">
        <v>1410120100</v>
      </c>
      <c r="B324" s="59">
        <v>240</v>
      </c>
      <c r="C324" s="31" t="s">
        <v>469</v>
      </c>
      <c r="D324" s="49">
        <f>'№5 '!E215</f>
        <v>23841.7</v>
      </c>
      <c r="E324" s="49">
        <f>'№5 '!F215</f>
        <v>19856.2</v>
      </c>
      <c r="F324" s="49">
        <f>'№5 '!G215</f>
        <v>8962.2</v>
      </c>
    </row>
    <row r="325" spans="1:6" ht="47.25">
      <c r="A325" s="61">
        <v>1410200000</v>
      </c>
      <c r="B325" s="59"/>
      <c r="C325" s="60" t="s">
        <v>252</v>
      </c>
      <c r="D325" s="49">
        <f>D329+D332+D326</f>
        <v>95947.29999999999</v>
      </c>
      <c r="E325" s="49">
        <f aca="true" t="shared" si="133" ref="E325:F325">E329+E332+E326</f>
        <v>0</v>
      </c>
      <c r="F325" s="49">
        <f t="shared" si="133"/>
        <v>0</v>
      </c>
    </row>
    <row r="326" spans="1:6" ht="31.5">
      <c r="A326" s="84">
        <v>1410211050</v>
      </c>
      <c r="B326" s="84"/>
      <c r="C326" s="85" t="s">
        <v>364</v>
      </c>
      <c r="D326" s="49">
        <f>D327</f>
        <v>77453.7</v>
      </c>
      <c r="E326" s="49">
        <f aca="true" t="shared" si="134" ref="E326:F327">E327</f>
        <v>0</v>
      </c>
      <c r="F326" s="49">
        <f t="shared" si="134"/>
        <v>0</v>
      </c>
    </row>
    <row r="327" spans="1:6" ht="31.5">
      <c r="A327" s="84">
        <v>1410211050</v>
      </c>
      <c r="B327" s="86" t="s">
        <v>75</v>
      </c>
      <c r="C327" s="85" t="s">
        <v>110</v>
      </c>
      <c r="D327" s="49">
        <f>D328</f>
        <v>77453.7</v>
      </c>
      <c r="E327" s="49">
        <f t="shared" si="134"/>
        <v>0</v>
      </c>
      <c r="F327" s="49">
        <f t="shared" si="134"/>
        <v>0</v>
      </c>
    </row>
    <row r="328" spans="1:6" ht="36.6" customHeight="1">
      <c r="A328" s="84">
        <v>1410211050</v>
      </c>
      <c r="B328" s="84">
        <v>240</v>
      </c>
      <c r="C328" s="31" t="s">
        <v>469</v>
      </c>
      <c r="D328" s="49">
        <f>'№5 '!E219</f>
        <v>77453.7</v>
      </c>
      <c r="E328" s="49">
        <f>'№5 '!F219</f>
        <v>0</v>
      </c>
      <c r="F328" s="49">
        <f>'№5 '!G219</f>
        <v>0</v>
      </c>
    </row>
    <row r="329" spans="1:6" ht="20.45" customHeight="1">
      <c r="A329" s="59">
        <v>1410220110</v>
      </c>
      <c r="B329" s="59"/>
      <c r="C329" s="60" t="s">
        <v>155</v>
      </c>
      <c r="D329" s="49">
        <f>D330</f>
        <v>1564.4</v>
      </c>
      <c r="E329" s="49">
        <f aca="true" t="shared" si="135" ref="E329:F330">E330</f>
        <v>0</v>
      </c>
      <c r="F329" s="49">
        <f t="shared" si="135"/>
        <v>0</v>
      </c>
    </row>
    <row r="330" spans="1:6" ht="31.5">
      <c r="A330" s="59">
        <v>1410220110</v>
      </c>
      <c r="B330" s="61" t="s">
        <v>75</v>
      </c>
      <c r="C330" s="60" t="s">
        <v>110</v>
      </c>
      <c r="D330" s="49">
        <f>D331</f>
        <v>1564.4</v>
      </c>
      <c r="E330" s="49">
        <f t="shared" si="135"/>
        <v>0</v>
      </c>
      <c r="F330" s="49">
        <f t="shared" si="135"/>
        <v>0</v>
      </c>
    </row>
    <row r="331" spans="1:6" ht="31.9" customHeight="1">
      <c r="A331" s="59">
        <v>1410220110</v>
      </c>
      <c r="B331" s="59">
        <v>240</v>
      </c>
      <c r="C331" s="31" t="s">
        <v>469</v>
      </c>
      <c r="D331" s="49">
        <f>'№5 '!E222</f>
        <v>1564.4</v>
      </c>
      <c r="E331" s="49">
        <f>'№5 '!F222</f>
        <v>0</v>
      </c>
      <c r="F331" s="49">
        <f>'№5 '!G222</f>
        <v>0</v>
      </c>
    </row>
    <row r="332" spans="1:6" ht="31.5">
      <c r="A332" s="84" t="s">
        <v>363</v>
      </c>
      <c r="B332" s="84"/>
      <c r="C332" s="85" t="s">
        <v>362</v>
      </c>
      <c r="D332" s="49">
        <f>D333</f>
        <v>16929.199999999997</v>
      </c>
      <c r="E332" s="49">
        <f aca="true" t="shared" si="136" ref="E332:F333">E333</f>
        <v>0</v>
      </c>
      <c r="F332" s="49">
        <f t="shared" si="136"/>
        <v>0</v>
      </c>
    </row>
    <row r="333" spans="1:6" ht="31.5">
      <c r="A333" s="84" t="s">
        <v>363</v>
      </c>
      <c r="B333" s="70" t="s">
        <v>75</v>
      </c>
      <c r="C333" s="69" t="s">
        <v>110</v>
      </c>
      <c r="D333" s="49">
        <f>D334</f>
        <v>16929.199999999997</v>
      </c>
      <c r="E333" s="49">
        <f t="shared" si="136"/>
        <v>0</v>
      </c>
      <c r="F333" s="49">
        <f t="shared" si="136"/>
        <v>0</v>
      </c>
    </row>
    <row r="334" spans="1:6" ht="31.5">
      <c r="A334" s="84" t="s">
        <v>363</v>
      </c>
      <c r="B334" s="68">
        <v>240</v>
      </c>
      <c r="C334" s="177" t="s">
        <v>469</v>
      </c>
      <c r="D334" s="49">
        <f>'№5 '!E225</f>
        <v>16929.199999999997</v>
      </c>
      <c r="E334" s="49">
        <f>'№5 '!F225</f>
        <v>0</v>
      </c>
      <c r="F334" s="49">
        <f>'№5 '!G225</f>
        <v>0</v>
      </c>
    </row>
    <row r="335" spans="1:6" ht="12.75">
      <c r="A335" s="61">
        <v>1420000000</v>
      </c>
      <c r="B335" s="59"/>
      <c r="C335" s="60" t="s">
        <v>156</v>
      </c>
      <c r="D335" s="49">
        <f>D336</f>
        <v>3500</v>
      </c>
      <c r="E335" s="49">
        <f aca="true" t="shared" si="137" ref="E335:F335">E336</f>
        <v>0</v>
      </c>
      <c r="F335" s="49">
        <f t="shared" si="137"/>
        <v>0</v>
      </c>
    </row>
    <row r="336" spans="1:6" ht="31.5">
      <c r="A336" s="61">
        <v>1420100000</v>
      </c>
      <c r="B336" s="59"/>
      <c r="C336" s="60" t="s">
        <v>253</v>
      </c>
      <c r="D336" s="49">
        <f>D337</f>
        <v>3500</v>
      </c>
      <c r="E336" s="49">
        <f aca="true" t="shared" si="138" ref="E336:F338">E337</f>
        <v>0</v>
      </c>
      <c r="F336" s="49">
        <f t="shared" si="138"/>
        <v>0</v>
      </c>
    </row>
    <row r="337" spans="1:6" ht="12.75">
      <c r="A337" s="59">
        <v>1420120120</v>
      </c>
      <c r="B337" s="59"/>
      <c r="C337" s="60" t="s">
        <v>157</v>
      </c>
      <c r="D337" s="49">
        <f>D338</f>
        <v>3500</v>
      </c>
      <c r="E337" s="49">
        <f t="shared" si="138"/>
        <v>0</v>
      </c>
      <c r="F337" s="49">
        <f t="shared" si="138"/>
        <v>0</v>
      </c>
    </row>
    <row r="338" spans="1:6" ht="31.5">
      <c r="A338" s="59">
        <v>1420120120</v>
      </c>
      <c r="B338" s="61" t="s">
        <v>75</v>
      </c>
      <c r="C338" s="60" t="s">
        <v>110</v>
      </c>
      <c r="D338" s="49">
        <f>D339</f>
        <v>3500</v>
      </c>
      <c r="E338" s="49">
        <f t="shared" si="138"/>
        <v>0</v>
      </c>
      <c r="F338" s="49">
        <f t="shared" si="138"/>
        <v>0</v>
      </c>
    </row>
    <row r="339" spans="1:6" ht="33.6" customHeight="1">
      <c r="A339" s="59">
        <v>1420120120</v>
      </c>
      <c r="B339" s="59">
        <v>240</v>
      </c>
      <c r="C339" s="31" t="s">
        <v>469</v>
      </c>
      <c r="D339" s="49">
        <f>'№5 '!E230</f>
        <v>3500</v>
      </c>
      <c r="E339" s="49">
        <f>'№5 '!F230</f>
        <v>0</v>
      </c>
      <c r="F339" s="49">
        <f>'№5 '!G230</f>
        <v>0</v>
      </c>
    </row>
    <row r="340" spans="1:6" ht="20.25" customHeight="1">
      <c r="A340" s="70">
        <v>1430000000</v>
      </c>
      <c r="B340" s="68"/>
      <c r="C340" s="9" t="s">
        <v>344</v>
      </c>
      <c r="D340" s="49">
        <f>D341</f>
        <v>6123.200000000001</v>
      </c>
      <c r="E340" s="49">
        <f aca="true" t="shared" si="139" ref="E340:F340">E341</f>
        <v>0</v>
      </c>
      <c r="F340" s="49">
        <f t="shared" si="139"/>
        <v>0</v>
      </c>
    </row>
    <row r="341" spans="1:6" ht="33.6" customHeight="1">
      <c r="A341" s="68">
        <v>1430300000</v>
      </c>
      <c r="B341" s="68"/>
      <c r="C341" s="9" t="s">
        <v>345</v>
      </c>
      <c r="D341" s="49">
        <f>D345+D342</f>
        <v>6123.200000000001</v>
      </c>
      <c r="E341" s="49">
        <f aca="true" t="shared" si="140" ref="E341:F341">E345+E342</f>
        <v>0</v>
      </c>
      <c r="F341" s="49">
        <f t="shared" si="140"/>
        <v>0</v>
      </c>
    </row>
    <row r="342" spans="1:6" ht="33.6" customHeight="1">
      <c r="A342" s="112">
        <v>1430310100</v>
      </c>
      <c r="B342" s="112"/>
      <c r="C342" s="74" t="s">
        <v>386</v>
      </c>
      <c r="D342" s="49">
        <f>D343</f>
        <v>4898.6</v>
      </c>
      <c r="E342" s="49">
        <f aca="true" t="shared" si="141" ref="E342:F343">E343</f>
        <v>0</v>
      </c>
      <c r="F342" s="49">
        <f t="shared" si="141"/>
        <v>0</v>
      </c>
    </row>
    <row r="343" spans="1:6" ht="33.6" customHeight="1">
      <c r="A343" s="112">
        <v>1430310100</v>
      </c>
      <c r="B343" s="114" t="s">
        <v>78</v>
      </c>
      <c r="C343" s="113" t="s">
        <v>111</v>
      </c>
      <c r="D343" s="49">
        <f>D344</f>
        <v>4898.6</v>
      </c>
      <c r="E343" s="49">
        <f t="shared" si="141"/>
        <v>0</v>
      </c>
      <c r="F343" s="49">
        <f t="shared" si="141"/>
        <v>0</v>
      </c>
    </row>
    <row r="344" spans="1:6" ht="13.5" customHeight="1">
      <c r="A344" s="112">
        <v>1430310100</v>
      </c>
      <c r="B344" s="114" t="s">
        <v>147</v>
      </c>
      <c r="C344" s="113" t="s">
        <v>148</v>
      </c>
      <c r="D344" s="49">
        <f>'№5 '!E274</f>
        <v>4898.6</v>
      </c>
      <c r="E344" s="49">
        <f>'№5 '!F274</f>
        <v>0</v>
      </c>
      <c r="F344" s="49">
        <f>'№5 '!G274</f>
        <v>0</v>
      </c>
    </row>
    <row r="345" spans="1:6" ht="15" customHeight="1">
      <c r="A345" s="68" t="s">
        <v>346</v>
      </c>
      <c r="B345" s="68"/>
      <c r="C345" s="74" t="s">
        <v>350</v>
      </c>
      <c r="D345" s="49">
        <f>D346</f>
        <v>1224.6000000000001</v>
      </c>
      <c r="E345" s="49">
        <f aca="true" t="shared" si="142" ref="E345:F345">E346</f>
        <v>0</v>
      </c>
      <c r="F345" s="49">
        <f t="shared" si="142"/>
        <v>0</v>
      </c>
    </row>
    <row r="346" spans="1:6" ht="33.6" customHeight="1">
      <c r="A346" s="68" t="s">
        <v>346</v>
      </c>
      <c r="B346" s="82" t="s">
        <v>78</v>
      </c>
      <c r="C346" s="81" t="s">
        <v>111</v>
      </c>
      <c r="D346" s="49">
        <f>D347</f>
        <v>1224.6000000000001</v>
      </c>
      <c r="E346" s="49">
        <f aca="true" t="shared" si="143" ref="E346:F346">E347</f>
        <v>0</v>
      </c>
      <c r="F346" s="49">
        <f t="shared" si="143"/>
        <v>0</v>
      </c>
    </row>
    <row r="347" spans="1:6" ht="18" customHeight="1">
      <c r="A347" s="68" t="s">
        <v>346</v>
      </c>
      <c r="B347" s="82" t="s">
        <v>147</v>
      </c>
      <c r="C347" s="81" t="s">
        <v>148</v>
      </c>
      <c r="D347" s="49">
        <f>'№5 '!E277</f>
        <v>1224.6000000000001</v>
      </c>
      <c r="E347" s="49">
        <f>'№5 '!F277</f>
        <v>0</v>
      </c>
      <c r="F347" s="49">
        <f>'№5 '!G277</f>
        <v>0</v>
      </c>
    </row>
    <row r="348" spans="1:6" ht="31.5">
      <c r="A348" s="40">
        <v>1500000000</v>
      </c>
      <c r="B348" s="19"/>
      <c r="C348" s="33" t="s">
        <v>243</v>
      </c>
      <c r="D348" s="48">
        <f>D349+D364</f>
        <v>8146.8</v>
      </c>
      <c r="E348" s="48">
        <f aca="true" t="shared" si="144" ref="E348:F348">E349+E364</f>
        <v>6659.7</v>
      </c>
      <c r="F348" s="48">
        <f t="shared" si="144"/>
        <v>6659.7</v>
      </c>
    </row>
    <row r="349" spans="1:6" ht="12.75">
      <c r="A349" s="59">
        <v>1510000000</v>
      </c>
      <c r="B349" s="59"/>
      <c r="C349" s="60" t="s">
        <v>206</v>
      </c>
      <c r="D349" s="49">
        <f>D350+D360</f>
        <v>6895.5</v>
      </c>
      <c r="E349" s="49">
        <f aca="true" t="shared" si="145" ref="E349:F349">E350+E360</f>
        <v>6659.7</v>
      </c>
      <c r="F349" s="49">
        <f t="shared" si="145"/>
        <v>6659.7</v>
      </c>
    </row>
    <row r="350" spans="1:6" ht="47.25">
      <c r="A350" s="59">
        <v>1510100000</v>
      </c>
      <c r="B350" s="59"/>
      <c r="C350" s="60" t="s">
        <v>246</v>
      </c>
      <c r="D350" s="49">
        <f>D354+D351+D357</f>
        <v>6786.3</v>
      </c>
      <c r="E350" s="49">
        <f aca="true" t="shared" si="146" ref="E350:F350">E354+E351+E357</f>
        <v>6548.3</v>
      </c>
      <c r="F350" s="49">
        <f t="shared" si="146"/>
        <v>6548.3</v>
      </c>
    </row>
    <row r="351" spans="1:6" ht="47.25">
      <c r="A351" s="84">
        <v>1510110200</v>
      </c>
      <c r="B351" s="84"/>
      <c r="C351" s="9" t="s">
        <v>366</v>
      </c>
      <c r="D351" s="49">
        <f>D352</f>
        <v>25</v>
      </c>
      <c r="E351" s="49">
        <f aca="true" t="shared" si="147" ref="E351:F352">E352</f>
        <v>0</v>
      </c>
      <c r="F351" s="49">
        <f t="shared" si="147"/>
        <v>0</v>
      </c>
    </row>
    <row r="352" spans="1:6" ht="31.5">
      <c r="A352" s="84">
        <v>1510110200</v>
      </c>
      <c r="B352" s="84">
        <v>600</v>
      </c>
      <c r="C352" s="85" t="s">
        <v>90</v>
      </c>
      <c r="D352" s="49">
        <f>D353</f>
        <v>25</v>
      </c>
      <c r="E352" s="49">
        <f t="shared" si="147"/>
        <v>0</v>
      </c>
      <c r="F352" s="49">
        <f t="shared" si="147"/>
        <v>0</v>
      </c>
    </row>
    <row r="353" spans="1:6" ht="12.75">
      <c r="A353" s="84">
        <v>1510110200</v>
      </c>
      <c r="B353" s="84">
        <v>610</v>
      </c>
      <c r="C353" s="85" t="s">
        <v>130</v>
      </c>
      <c r="D353" s="49">
        <f>'№5 '!E187</f>
        <v>25</v>
      </c>
      <c r="E353" s="49">
        <f>'№5 '!F187</f>
        <v>0</v>
      </c>
      <c r="F353" s="49">
        <f>'№5 '!G187</f>
        <v>0</v>
      </c>
    </row>
    <row r="354" spans="1:6" ht="31.5">
      <c r="A354" s="59">
        <v>1510120010</v>
      </c>
      <c r="B354" s="59"/>
      <c r="C354" s="60" t="s">
        <v>151</v>
      </c>
      <c r="D354" s="49">
        <f>D355</f>
        <v>6758.8</v>
      </c>
      <c r="E354" s="49">
        <f aca="true" t="shared" si="148" ref="E354:F355">E355</f>
        <v>6548.3</v>
      </c>
      <c r="F354" s="49">
        <f t="shared" si="148"/>
        <v>6548.3</v>
      </c>
    </row>
    <row r="355" spans="1:6" ht="31.5">
      <c r="A355" s="59">
        <v>1510120010</v>
      </c>
      <c r="B355" s="59">
        <v>600</v>
      </c>
      <c r="C355" s="60" t="s">
        <v>90</v>
      </c>
      <c r="D355" s="49">
        <f>D356</f>
        <v>6758.8</v>
      </c>
      <c r="E355" s="49">
        <f t="shared" si="148"/>
        <v>6548.3</v>
      </c>
      <c r="F355" s="49">
        <f t="shared" si="148"/>
        <v>6548.3</v>
      </c>
    </row>
    <row r="356" spans="1:6" ht="12.75">
      <c r="A356" s="59">
        <v>1510120010</v>
      </c>
      <c r="B356" s="59">
        <v>610</v>
      </c>
      <c r="C356" s="60" t="s">
        <v>130</v>
      </c>
      <c r="D356" s="49">
        <f>'№5 '!E190</f>
        <v>6758.8</v>
      </c>
      <c r="E356" s="49">
        <f>'№5 '!F190</f>
        <v>6548.3</v>
      </c>
      <c r="F356" s="49">
        <f>'№5 '!G190</f>
        <v>6548.3</v>
      </c>
    </row>
    <row r="357" spans="1:6" ht="47.25">
      <c r="A357" s="87" t="s">
        <v>370</v>
      </c>
      <c r="B357" s="87"/>
      <c r="C357" s="9" t="s">
        <v>366</v>
      </c>
      <c r="D357" s="49">
        <f>D358</f>
        <v>2.5</v>
      </c>
      <c r="E357" s="49">
        <f aca="true" t="shared" si="149" ref="E357:F358">E358</f>
        <v>0</v>
      </c>
      <c r="F357" s="49">
        <f t="shared" si="149"/>
        <v>0</v>
      </c>
    </row>
    <row r="358" spans="1:6" ht="31.5">
      <c r="A358" s="87" t="s">
        <v>370</v>
      </c>
      <c r="B358" s="87">
        <v>600</v>
      </c>
      <c r="C358" s="88" t="s">
        <v>113</v>
      </c>
      <c r="D358" s="49">
        <f>D359</f>
        <v>2.5</v>
      </c>
      <c r="E358" s="49">
        <f t="shared" si="149"/>
        <v>0</v>
      </c>
      <c r="F358" s="49">
        <f t="shared" si="149"/>
        <v>0</v>
      </c>
    </row>
    <row r="359" spans="1:6" ht="12.75">
      <c r="A359" s="87" t="s">
        <v>370</v>
      </c>
      <c r="B359" s="87">
        <v>610</v>
      </c>
      <c r="C359" s="88" t="s">
        <v>130</v>
      </c>
      <c r="D359" s="49">
        <f>'№5 '!E193</f>
        <v>2.5</v>
      </c>
      <c r="E359" s="49">
        <f>'№5 '!F193</f>
        <v>0</v>
      </c>
      <c r="F359" s="49">
        <f>'№5 '!G193</f>
        <v>0</v>
      </c>
    </row>
    <row r="360" spans="1:6" ht="47.25">
      <c r="A360" s="59">
        <v>1510200000</v>
      </c>
      <c r="B360" s="59"/>
      <c r="C360" s="60" t="s">
        <v>244</v>
      </c>
      <c r="D360" s="49">
        <f>D361</f>
        <v>109.2</v>
      </c>
      <c r="E360" s="49">
        <f aca="true" t="shared" si="150" ref="E360:F362">E361</f>
        <v>111.4</v>
      </c>
      <c r="F360" s="49">
        <f t="shared" si="150"/>
        <v>111.4</v>
      </c>
    </row>
    <row r="361" spans="1:6" ht="31.5">
      <c r="A361" s="59">
        <v>1510220170</v>
      </c>
      <c r="B361" s="59"/>
      <c r="C361" s="60" t="s">
        <v>245</v>
      </c>
      <c r="D361" s="49">
        <f>D362</f>
        <v>109.2</v>
      </c>
      <c r="E361" s="49">
        <f t="shared" si="150"/>
        <v>111.4</v>
      </c>
      <c r="F361" s="49">
        <f t="shared" si="150"/>
        <v>111.4</v>
      </c>
    </row>
    <row r="362" spans="1:6" ht="12.75">
      <c r="A362" s="59">
        <v>1510220170</v>
      </c>
      <c r="B362" s="61" t="s">
        <v>79</v>
      </c>
      <c r="C362" s="60" t="s">
        <v>80</v>
      </c>
      <c r="D362" s="49">
        <f>D363</f>
        <v>109.2</v>
      </c>
      <c r="E362" s="49">
        <f t="shared" si="150"/>
        <v>111.4</v>
      </c>
      <c r="F362" s="49">
        <f t="shared" si="150"/>
        <v>111.4</v>
      </c>
    </row>
    <row r="363" spans="1:6" ht="12.75">
      <c r="A363" s="59">
        <v>1510220170</v>
      </c>
      <c r="B363" s="1" t="s">
        <v>208</v>
      </c>
      <c r="C363" s="22" t="s">
        <v>207</v>
      </c>
      <c r="D363" s="49">
        <f>'№4 '!F71</f>
        <v>109.2</v>
      </c>
      <c r="E363" s="49">
        <f>'№4 '!G71</f>
        <v>111.4</v>
      </c>
      <c r="F363" s="49">
        <f>'№4 '!H71</f>
        <v>111.4</v>
      </c>
    </row>
    <row r="364" spans="1:6" ht="15" customHeight="1">
      <c r="A364" s="61">
        <v>1520000000</v>
      </c>
      <c r="B364" s="59"/>
      <c r="C364" s="60" t="s">
        <v>235</v>
      </c>
      <c r="D364" s="49">
        <f>D365+D369</f>
        <v>1251.3</v>
      </c>
      <c r="E364" s="49">
        <f aca="true" t="shared" si="151" ref="E364:F365">E365</f>
        <v>0</v>
      </c>
      <c r="F364" s="49">
        <f t="shared" si="151"/>
        <v>0</v>
      </c>
    </row>
    <row r="365" spans="1:6" ht="63">
      <c r="A365" s="59">
        <v>1520100000</v>
      </c>
      <c r="B365" s="59"/>
      <c r="C365" s="60" t="s">
        <v>311</v>
      </c>
      <c r="D365" s="49">
        <f>D366</f>
        <v>1185.5</v>
      </c>
      <c r="E365" s="49">
        <f t="shared" si="151"/>
        <v>0</v>
      </c>
      <c r="F365" s="49">
        <f t="shared" si="151"/>
        <v>0</v>
      </c>
    </row>
    <row r="366" spans="1:6" ht="31.5">
      <c r="A366" s="11" t="s">
        <v>376</v>
      </c>
      <c r="B366" s="103"/>
      <c r="C366" s="111" t="s">
        <v>382</v>
      </c>
      <c r="D366" s="49">
        <f>D367</f>
        <v>1185.5</v>
      </c>
      <c r="E366" s="49">
        <f aca="true" t="shared" si="152" ref="E366:F367">E367</f>
        <v>0</v>
      </c>
      <c r="F366" s="49">
        <f t="shared" si="152"/>
        <v>0</v>
      </c>
    </row>
    <row r="367" spans="1:6" ht="31.5">
      <c r="A367" s="11" t="s">
        <v>376</v>
      </c>
      <c r="B367" s="105" t="s">
        <v>112</v>
      </c>
      <c r="C367" s="104" t="s">
        <v>113</v>
      </c>
      <c r="D367" s="49">
        <f>D368</f>
        <v>1185.5</v>
      </c>
      <c r="E367" s="49">
        <f t="shared" si="152"/>
        <v>0</v>
      </c>
      <c r="F367" s="49">
        <f t="shared" si="152"/>
        <v>0</v>
      </c>
    </row>
    <row r="368" spans="1:6" ht="12.75">
      <c r="A368" s="11" t="s">
        <v>376</v>
      </c>
      <c r="B368" s="103">
        <v>610</v>
      </c>
      <c r="C368" s="104" t="s">
        <v>130</v>
      </c>
      <c r="D368" s="49">
        <f>'№5 '!E415+'№5 '!E356+'№5 '!E456</f>
        <v>1185.5</v>
      </c>
      <c r="E368" s="49">
        <v>0</v>
      </c>
      <c r="F368" s="49">
        <v>0</v>
      </c>
    </row>
    <row r="369" spans="1:6" ht="47.25">
      <c r="A369" s="11" t="s">
        <v>379</v>
      </c>
      <c r="B369" s="103"/>
      <c r="C369" s="104" t="s">
        <v>381</v>
      </c>
      <c r="D369" s="49">
        <f>D370</f>
        <v>65.8</v>
      </c>
      <c r="E369" s="49">
        <f aca="true" t="shared" si="153" ref="E369:F371">E370</f>
        <v>0</v>
      </c>
      <c r="F369" s="49">
        <f t="shared" si="153"/>
        <v>0</v>
      </c>
    </row>
    <row r="370" spans="1:6" ht="12.75">
      <c r="A370" s="11" t="s">
        <v>379</v>
      </c>
      <c r="B370" s="103"/>
      <c r="C370" s="104" t="s">
        <v>378</v>
      </c>
      <c r="D370" s="49">
        <f>D371</f>
        <v>65.8</v>
      </c>
      <c r="E370" s="49">
        <f t="shared" si="153"/>
        <v>0</v>
      </c>
      <c r="F370" s="49">
        <f t="shared" si="153"/>
        <v>0</v>
      </c>
    </row>
    <row r="371" spans="1:6" ht="31.5">
      <c r="A371" s="11" t="s">
        <v>379</v>
      </c>
      <c r="B371" s="105" t="s">
        <v>112</v>
      </c>
      <c r="C371" s="104" t="s">
        <v>113</v>
      </c>
      <c r="D371" s="49">
        <f>D372</f>
        <v>65.8</v>
      </c>
      <c r="E371" s="49">
        <f t="shared" si="153"/>
        <v>0</v>
      </c>
      <c r="F371" s="49">
        <f t="shared" si="153"/>
        <v>0</v>
      </c>
    </row>
    <row r="372" spans="1:6" ht="12.75">
      <c r="A372" s="11" t="s">
        <v>379</v>
      </c>
      <c r="B372" s="103">
        <v>610</v>
      </c>
      <c r="C372" s="104" t="s">
        <v>130</v>
      </c>
      <c r="D372" s="49">
        <f>'№5 '!E419</f>
        <v>65.8</v>
      </c>
      <c r="E372" s="49">
        <f>'№5 '!F419</f>
        <v>0</v>
      </c>
      <c r="F372" s="49">
        <f>'№5 '!G419</f>
        <v>0</v>
      </c>
    </row>
    <row r="373" spans="1:6" ht="47.25">
      <c r="A373" s="40">
        <v>1600000000</v>
      </c>
      <c r="B373" s="61"/>
      <c r="C373" s="33" t="s">
        <v>140</v>
      </c>
      <c r="D373" s="48">
        <f>D374+D387+D418+D434</f>
        <v>28804.9</v>
      </c>
      <c r="E373" s="48">
        <f>E374+E387+E418+E434</f>
        <v>18563.1</v>
      </c>
      <c r="F373" s="48">
        <f>F374+F387+F418+F434</f>
        <v>19563.4</v>
      </c>
    </row>
    <row r="374" spans="1:6" ht="31.5">
      <c r="A374" s="61">
        <v>1610000000</v>
      </c>
      <c r="B374" s="59"/>
      <c r="C374" s="60" t="s">
        <v>285</v>
      </c>
      <c r="D374" s="49">
        <f>D375+D379+D383</f>
        <v>3866.9</v>
      </c>
      <c r="E374" s="49">
        <f aca="true" t="shared" si="154" ref="E374:F374">E375+E379+E383</f>
        <v>3280.9</v>
      </c>
      <c r="F374" s="49">
        <f t="shared" si="154"/>
        <v>3280.9</v>
      </c>
    </row>
    <row r="375" spans="1:6" ht="47.25">
      <c r="A375" s="61">
        <v>1610100000</v>
      </c>
      <c r="B375" s="59"/>
      <c r="C375" s="60" t="s">
        <v>254</v>
      </c>
      <c r="D375" s="49">
        <f>D376</f>
        <v>2204.7</v>
      </c>
      <c r="E375" s="49">
        <f aca="true" t="shared" si="155" ref="E375:F377">E376</f>
        <v>2874.5</v>
      </c>
      <c r="F375" s="49">
        <f t="shared" si="155"/>
        <v>2874.5</v>
      </c>
    </row>
    <row r="376" spans="1:6" ht="31.5">
      <c r="A376" s="61">
        <v>1610120010</v>
      </c>
      <c r="B376" s="59"/>
      <c r="C376" s="60" t="s">
        <v>151</v>
      </c>
      <c r="D376" s="49">
        <f>D377</f>
        <v>2204.7</v>
      </c>
      <c r="E376" s="49">
        <f t="shared" si="155"/>
        <v>2874.5</v>
      </c>
      <c r="F376" s="49">
        <f t="shared" si="155"/>
        <v>2874.5</v>
      </c>
    </row>
    <row r="377" spans="1:6" ht="31.5">
      <c r="A377" s="61">
        <v>1610120010</v>
      </c>
      <c r="B377" s="61" t="s">
        <v>112</v>
      </c>
      <c r="C377" s="60" t="s">
        <v>113</v>
      </c>
      <c r="D377" s="49">
        <f>D378</f>
        <v>2204.7</v>
      </c>
      <c r="E377" s="49">
        <f t="shared" si="155"/>
        <v>2874.5</v>
      </c>
      <c r="F377" s="49">
        <f t="shared" si="155"/>
        <v>2874.5</v>
      </c>
    </row>
    <row r="378" spans="1:6" ht="12.75">
      <c r="A378" s="61">
        <v>1610120010</v>
      </c>
      <c r="B378" s="59">
        <v>610</v>
      </c>
      <c r="C378" s="60" t="s">
        <v>130</v>
      </c>
      <c r="D378" s="49">
        <f>'№4 '!F189</f>
        <v>2204.7</v>
      </c>
      <c r="E378" s="49">
        <f>'№4 '!G189</f>
        <v>2874.5</v>
      </c>
      <c r="F378" s="49">
        <f>'№4 '!H189</f>
        <v>2874.5</v>
      </c>
    </row>
    <row r="379" spans="1:6" ht="63">
      <c r="A379" s="61">
        <v>1610200000</v>
      </c>
      <c r="B379" s="59"/>
      <c r="C379" s="60" t="s">
        <v>296</v>
      </c>
      <c r="D379" s="49">
        <f>D380</f>
        <v>264.3</v>
      </c>
      <c r="E379" s="49">
        <f aca="true" t="shared" si="156" ref="E379:F379">E380</f>
        <v>0</v>
      </c>
      <c r="F379" s="49">
        <f t="shared" si="156"/>
        <v>0</v>
      </c>
    </row>
    <row r="380" spans="1:6" ht="31.5">
      <c r="A380" s="61">
        <v>1610220030</v>
      </c>
      <c r="B380" s="59"/>
      <c r="C380" s="60" t="s">
        <v>292</v>
      </c>
      <c r="D380" s="49">
        <f>D381</f>
        <v>264.3</v>
      </c>
      <c r="E380" s="49">
        <f aca="true" t="shared" si="157" ref="E380:F381">E381</f>
        <v>0</v>
      </c>
      <c r="F380" s="49">
        <f t="shared" si="157"/>
        <v>0</v>
      </c>
    </row>
    <row r="381" spans="1:6" ht="31.5">
      <c r="A381" s="61">
        <v>1610220030</v>
      </c>
      <c r="B381" s="61" t="s">
        <v>112</v>
      </c>
      <c r="C381" s="60" t="s">
        <v>113</v>
      </c>
      <c r="D381" s="49">
        <f>D382</f>
        <v>264.3</v>
      </c>
      <c r="E381" s="49">
        <f t="shared" si="157"/>
        <v>0</v>
      </c>
      <c r="F381" s="49">
        <f t="shared" si="157"/>
        <v>0</v>
      </c>
    </row>
    <row r="382" spans="1:6" ht="12.75">
      <c r="A382" s="61">
        <v>1610220030</v>
      </c>
      <c r="B382" s="59">
        <v>610</v>
      </c>
      <c r="C382" s="60" t="s">
        <v>130</v>
      </c>
      <c r="D382" s="49">
        <f>'№4 '!F193</f>
        <v>264.3</v>
      </c>
      <c r="E382" s="49">
        <f>'№4 '!G193</f>
        <v>0</v>
      </c>
      <c r="F382" s="49">
        <f>'№4 '!H193</f>
        <v>0</v>
      </c>
    </row>
    <row r="383" spans="1:6" ht="31.5">
      <c r="A383" s="61">
        <v>1610300000</v>
      </c>
      <c r="B383" s="59"/>
      <c r="C383" s="60" t="s">
        <v>297</v>
      </c>
      <c r="D383" s="49">
        <f>D384</f>
        <v>1397.9</v>
      </c>
      <c r="E383" s="49">
        <f aca="true" t="shared" si="158" ref="E383:F383">E384</f>
        <v>406.4</v>
      </c>
      <c r="F383" s="49">
        <f t="shared" si="158"/>
        <v>406.4</v>
      </c>
    </row>
    <row r="384" spans="1:6" ht="12.75">
      <c r="A384" s="61">
        <v>1610320200</v>
      </c>
      <c r="B384" s="59"/>
      <c r="C384" s="60" t="s">
        <v>186</v>
      </c>
      <c r="D384" s="49">
        <f>D385</f>
        <v>1397.9</v>
      </c>
      <c r="E384" s="49">
        <f aca="true" t="shared" si="159" ref="E384:F385">E385</f>
        <v>406.4</v>
      </c>
      <c r="F384" s="49">
        <f t="shared" si="159"/>
        <v>406.4</v>
      </c>
    </row>
    <row r="385" spans="1:6" ht="31.5">
      <c r="A385" s="61">
        <v>1610320200</v>
      </c>
      <c r="B385" s="61" t="s">
        <v>112</v>
      </c>
      <c r="C385" s="60" t="s">
        <v>113</v>
      </c>
      <c r="D385" s="49">
        <f>D386</f>
        <v>1397.9</v>
      </c>
      <c r="E385" s="49">
        <f t="shared" si="159"/>
        <v>406.4</v>
      </c>
      <c r="F385" s="49">
        <f t="shared" si="159"/>
        <v>406.4</v>
      </c>
    </row>
    <row r="386" spans="1:6" ht="12.75">
      <c r="A386" s="61">
        <v>1610320200</v>
      </c>
      <c r="B386" s="59">
        <v>610</v>
      </c>
      <c r="C386" s="60" t="s">
        <v>130</v>
      </c>
      <c r="D386" s="49">
        <f>'№4 '!F197</f>
        <v>1397.9</v>
      </c>
      <c r="E386" s="49">
        <f>'№4 '!G197</f>
        <v>406.4</v>
      </c>
      <c r="F386" s="49">
        <f>'№4 '!H197</f>
        <v>406.4</v>
      </c>
    </row>
    <row r="387" spans="1:6" ht="31.5">
      <c r="A387" s="61">
        <v>1620000000</v>
      </c>
      <c r="B387" s="61"/>
      <c r="C387" s="60" t="s">
        <v>133</v>
      </c>
      <c r="D387" s="49">
        <f>D388+D401+D414</f>
        <v>22483</v>
      </c>
      <c r="E387" s="49">
        <f aca="true" t="shared" si="160" ref="E387:F387">E388+E401</f>
        <v>12265.7</v>
      </c>
      <c r="F387" s="49">
        <f t="shared" si="160"/>
        <v>13266</v>
      </c>
    </row>
    <row r="388" spans="1:6" ht="12.75">
      <c r="A388" s="61">
        <v>1620100000</v>
      </c>
      <c r="B388" s="61"/>
      <c r="C388" s="60" t="s">
        <v>134</v>
      </c>
      <c r="D388" s="49">
        <f>D389+D392+D395+D398</f>
        <v>4901.2</v>
      </c>
      <c r="E388" s="49">
        <f aca="true" t="shared" si="161" ref="E388:F388">E389+E392+E395+E398</f>
        <v>4263.9</v>
      </c>
      <c r="F388" s="49">
        <f t="shared" si="161"/>
        <v>4263.9</v>
      </c>
    </row>
    <row r="389" spans="1:6" ht="12.75">
      <c r="A389" s="61">
        <v>1620120210</v>
      </c>
      <c r="B389" s="25"/>
      <c r="C389" s="60" t="s">
        <v>135</v>
      </c>
      <c r="D389" s="49">
        <f>D390</f>
        <v>2959.4999999999995</v>
      </c>
      <c r="E389" s="49">
        <f aca="true" t="shared" si="162" ref="E389:F390">E390</f>
        <v>2122.2</v>
      </c>
      <c r="F389" s="49">
        <f t="shared" si="162"/>
        <v>2122.2</v>
      </c>
    </row>
    <row r="390" spans="1:6" ht="31.5">
      <c r="A390" s="61">
        <v>1620120210</v>
      </c>
      <c r="B390" s="61" t="s">
        <v>75</v>
      </c>
      <c r="C390" s="60" t="s">
        <v>110</v>
      </c>
      <c r="D390" s="49">
        <f>D391</f>
        <v>2959.4999999999995</v>
      </c>
      <c r="E390" s="49">
        <f t="shared" si="162"/>
        <v>2122.2</v>
      </c>
      <c r="F390" s="49">
        <f t="shared" si="162"/>
        <v>2122.2</v>
      </c>
    </row>
    <row r="391" spans="1:6" ht="31.15" customHeight="1">
      <c r="A391" s="61">
        <v>1620120210</v>
      </c>
      <c r="B391" s="59">
        <v>240</v>
      </c>
      <c r="C391" s="60" t="s">
        <v>469</v>
      </c>
      <c r="D391" s="49">
        <f>'№5 '!E110</f>
        <v>2959.4999999999995</v>
      </c>
      <c r="E391" s="49">
        <f>'№5 '!F110</f>
        <v>2122.2</v>
      </c>
      <c r="F391" s="49">
        <f>'№5 '!G110</f>
        <v>2122.2</v>
      </c>
    </row>
    <row r="392" spans="1:6" ht="31.5">
      <c r="A392" s="61">
        <v>1620120220</v>
      </c>
      <c r="B392" s="59"/>
      <c r="C392" s="60" t="s">
        <v>132</v>
      </c>
      <c r="D392" s="49">
        <f>D393</f>
        <v>208</v>
      </c>
      <c r="E392" s="49">
        <f aca="true" t="shared" si="163" ref="E392:F393">E393</f>
        <v>208</v>
      </c>
      <c r="F392" s="49">
        <f t="shared" si="163"/>
        <v>208</v>
      </c>
    </row>
    <row r="393" spans="1:6" ht="31.5">
      <c r="A393" s="61">
        <v>1620120220</v>
      </c>
      <c r="B393" s="61" t="s">
        <v>75</v>
      </c>
      <c r="C393" s="60" t="s">
        <v>110</v>
      </c>
      <c r="D393" s="49">
        <f>D394</f>
        <v>208</v>
      </c>
      <c r="E393" s="49">
        <f t="shared" si="163"/>
        <v>208</v>
      </c>
      <c r="F393" s="49">
        <f t="shared" si="163"/>
        <v>208</v>
      </c>
    </row>
    <row r="394" spans="1:6" ht="32.45" customHeight="1">
      <c r="A394" s="61">
        <v>1620120220</v>
      </c>
      <c r="B394" s="59">
        <v>240</v>
      </c>
      <c r="C394" s="199" t="s">
        <v>469</v>
      </c>
      <c r="D394" s="49">
        <f>'№5 '!E113</f>
        <v>208</v>
      </c>
      <c r="E394" s="49">
        <f>'№5 '!F113</f>
        <v>208</v>
      </c>
      <c r="F394" s="49">
        <f>'№5 '!G113</f>
        <v>208</v>
      </c>
    </row>
    <row r="395" spans="1:6" ht="47.25">
      <c r="A395" s="61">
        <v>1620120230</v>
      </c>
      <c r="B395" s="61"/>
      <c r="C395" s="60" t="s">
        <v>139</v>
      </c>
      <c r="D395" s="49">
        <f>D396</f>
        <v>1433.7</v>
      </c>
      <c r="E395" s="49">
        <f aca="true" t="shared" si="164" ref="E395:F396">E396</f>
        <v>1433.7</v>
      </c>
      <c r="F395" s="49">
        <f t="shared" si="164"/>
        <v>1433.7</v>
      </c>
    </row>
    <row r="396" spans="1:6" ht="31.5">
      <c r="A396" s="61">
        <v>1620120230</v>
      </c>
      <c r="B396" s="61" t="s">
        <v>75</v>
      </c>
      <c r="C396" s="60" t="s">
        <v>110</v>
      </c>
      <c r="D396" s="49">
        <f>D397</f>
        <v>1433.7</v>
      </c>
      <c r="E396" s="49">
        <f t="shared" si="164"/>
        <v>1433.7</v>
      </c>
      <c r="F396" s="49">
        <f t="shared" si="164"/>
        <v>1433.7</v>
      </c>
    </row>
    <row r="397" spans="1:6" ht="30.6" customHeight="1">
      <c r="A397" s="61">
        <v>1620120230</v>
      </c>
      <c r="B397" s="59">
        <v>240</v>
      </c>
      <c r="C397" s="199" t="s">
        <v>469</v>
      </c>
      <c r="D397" s="49">
        <f>'№5 '!E267</f>
        <v>1433.7</v>
      </c>
      <c r="E397" s="49">
        <f>'№5 '!F267</f>
        <v>1433.7</v>
      </c>
      <c r="F397" s="49">
        <f>'№5 '!G267</f>
        <v>1433.7</v>
      </c>
    </row>
    <row r="398" spans="1:6" ht="31.5">
      <c r="A398" s="61">
        <v>1620120240</v>
      </c>
      <c r="B398" s="61"/>
      <c r="C398" s="60" t="s">
        <v>137</v>
      </c>
      <c r="D398" s="49">
        <f>D399</f>
        <v>300</v>
      </c>
      <c r="E398" s="49">
        <f aca="true" t="shared" si="165" ref="E398:F399">E399</f>
        <v>500</v>
      </c>
      <c r="F398" s="49">
        <f t="shared" si="165"/>
        <v>500</v>
      </c>
    </row>
    <row r="399" spans="1:6" ht="31.5">
      <c r="A399" s="61">
        <v>1620120240</v>
      </c>
      <c r="B399" s="61" t="s">
        <v>75</v>
      </c>
      <c r="C399" s="60" t="s">
        <v>110</v>
      </c>
      <c r="D399" s="49">
        <f>D400</f>
        <v>300</v>
      </c>
      <c r="E399" s="49">
        <f t="shared" si="165"/>
        <v>500</v>
      </c>
      <c r="F399" s="49">
        <f t="shared" si="165"/>
        <v>500</v>
      </c>
    </row>
    <row r="400" spans="1:6" ht="31.9" customHeight="1">
      <c r="A400" s="61">
        <v>1620120240</v>
      </c>
      <c r="B400" s="59">
        <v>240</v>
      </c>
      <c r="C400" s="199" t="s">
        <v>469</v>
      </c>
      <c r="D400" s="49">
        <f>'№5 '!E250</f>
        <v>300</v>
      </c>
      <c r="E400" s="49">
        <f>'№5 '!F250</f>
        <v>500</v>
      </c>
      <c r="F400" s="49">
        <f>'№5 '!G250</f>
        <v>500</v>
      </c>
    </row>
    <row r="401" spans="1:6" ht="12.75">
      <c r="A401" s="61">
        <v>1620200000</v>
      </c>
      <c r="B401" s="61"/>
      <c r="C401" s="60" t="s">
        <v>138</v>
      </c>
      <c r="D401" s="49">
        <f>D408+D405+D411+D402</f>
        <v>17321.8</v>
      </c>
      <c r="E401" s="49">
        <f aca="true" t="shared" si="166" ref="E401:F401">E408+E405+E411+E402</f>
        <v>8001.8</v>
      </c>
      <c r="F401" s="49">
        <f t="shared" si="166"/>
        <v>9002.1</v>
      </c>
    </row>
    <row r="402" spans="1:6" ht="47.25">
      <c r="A402" s="114">
        <v>1620210290</v>
      </c>
      <c r="B402" s="114"/>
      <c r="C402" s="113" t="s">
        <v>385</v>
      </c>
      <c r="D402" s="49">
        <f>D403</f>
        <v>4423.5</v>
      </c>
      <c r="E402" s="49">
        <f aca="true" t="shared" si="167" ref="E402:F403">E403</f>
        <v>0</v>
      </c>
      <c r="F402" s="49">
        <f t="shared" si="167"/>
        <v>0</v>
      </c>
    </row>
    <row r="403" spans="1:6" ht="31.5">
      <c r="A403" s="114">
        <v>1620210290</v>
      </c>
      <c r="B403" s="114" t="s">
        <v>78</v>
      </c>
      <c r="C403" s="113" t="s">
        <v>111</v>
      </c>
      <c r="D403" s="49">
        <f>D404</f>
        <v>4423.5</v>
      </c>
      <c r="E403" s="49">
        <f t="shared" si="167"/>
        <v>0</v>
      </c>
      <c r="F403" s="49">
        <f t="shared" si="167"/>
        <v>0</v>
      </c>
    </row>
    <row r="404" spans="1:6" ht="12.75">
      <c r="A404" s="114">
        <v>1620210290</v>
      </c>
      <c r="B404" s="114" t="s">
        <v>147</v>
      </c>
      <c r="C404" s="113" t="s">
        <v>148</v>
      </c>
      <c r="D404" s="49">
        <f>'№5 '!E616</f>
        <v>4423.5</v>
      </c>
      <c r="E404" s="49">
        <f>'№5 '!F616</f>
        <v>0</v>
      </c>
      <c r="F404" s="49">
        <f>'№5 '!G616</f>
        <v>0</v>
      </c>
    </row>
    <row r="405" spans="1:6" ht="63">
      <c r="A405" s="67">
        <v>1620210820</v>
      </c>
      <c r="B405" s="67"/>
      <c r="C405" s="66" t="s">
        <v>330</v>
      </c>
      <c r="D405" s="49">
        <f>D406</f>
        <v>8001.8</v>
      </c>
      <c r="E405" s="49">
        <f aca="true" t="shared" si="168" ref="E405:F406">E406</f>
        <v>7001.6</v>
      </c>
      <c r="F405" s="49">
        <f t="shared" si="168"/>
        <v>7001.6</v>
      </c>
    </row>
    <row r="406" spans="1:6" ht="31.5">
      <c r="A406" s="67">
        <v>1620210820</v>
      </c>
      <c r="B406" s="67" t="s">
        <v>78</v>
      </c>
      <c r="C406" s="66" t="s">
        <v>111</v>
      </c>
      <c r="D406" s="49">
        <f>D407</f>
        <v>8001.8</v>
      </c>
      <c r="E406" s="49">
        <f t="shared" si="168"/>
        <v>7001.6</v>
      </c>
      <c r="F406" s="49">
        <f t="shared" si="168"/>
        <v>7001.6</v>
      </c>
    </row>
    <row r="407" spans="1:6" ht="12.75">
      <c r="A407" s="67">
        <v>1620210820</v>
      </c>
      <c r="B407" s="67" t="s">
        <v>147</v>
      </c>
      <c r="C407" s="66" t="s">
        <v>148</v>
      </c>
      <c r="D407" s="49">
        <f>'№5 '!E634</f>
        <v>8001.8</v>
      </c>
      <c r="E407" s="49">
        <f>'№5 '!F634</f>
        <v>7001.6</v>
      </c>
      <c r="F407" s="49">
        <f>'№5 '!G634</f>
        <v>7001.6</v>
      </c>
    </row>
    <row r="408" spans="1:6" ht="47.25">
      <c r="A408" s="61" t="s">
        <v>141</v>
      </c>
      <c r="B408" s="61"/>
      <c r="C408" s="60" t="s">
        <v>327</v>
      </c>
      <c r="D408" s="49">
        <f>D409</f>
        <v>3000.7</v>
      </c>
      <c r="E408" s="49">
        <f aca="true" t="shared" si="169" ref="E408:F409">E409</f>
        <v>1000.1999999999998</v>
      </c>
      <c r="F408" s="49">
        <f t="shared" si="169"/>
        <v>2000.5</v>
      </c>
    </row>
    <row r="409" spans="1:6" ht="31.5">
      <c r="A409" s="61" t="s">
        <v>141</v>
      </c>
      <c r="B409" s="61" t="s">
        <v>78</v>
      </c>
      <c r="C409" s="60" t="s">
        <v>111</v>
      </c>
      <c r="D409" s="49">
        <f>D410</f>
        <v>3000.7</v>
      </c>
      <c r="E409" s="49">
        <f t="shared" si="169"/>
        <v>1000.1999999999998</v>
      </c>
      <c r="F409" s="49">
        <f t="shared" si="169"/>
        <v>2000.5</v>
      </c>
    </row>
    <row r="410" spans="1:6" ht="12.75">
      <c r="A410" s="61" t="s">
        <v>141</v>
      </c>
      <c r="B410" s="61" t="s">
        <v>147</v>
      </c>
      <c r="C410" s="60" t="s">
        <v>148</v>
      </c>
      <c r="D410" s="49">
        <f>'№5 '!E637</f>
        <v>3000.7</v>
      </c>
      <c r="E410" s="49">
        <f>'№5 '!F637</f>
        <v>1000.1999999999998</v>
      </c>
      <c r="F410" s="49">
        <f>'№5 '!G637</f>
        <v>2000.5</v>
      </c>
    </row>
    <row r="411" spans="1:6" ht="31.5">
      <c r="A411" s="70" t="s">
        <v>336</v>
      </c>
      <c r="B411" s="70"/>
      <c r="C411" s="69" t="s">
        <v>337</v>
      </c>
      <c r="D411" s="49">
        <f>D412</f>
        <v>1895.8</v>
      </c>
      <c r="E411" s="49">
        <f aca="true" t="shared" si="170" ref="E411:F412">E412</f>
        <v>0</v>
      </c>
      <c r="F411" s="49">
        <f t="shared" si="170"/>
        <v>0</v>
      </c>
    </row>
    <row r="412" spans="1:6" ht="31.5">
      <c r="A412" s="70" t="s">
        <v>336</v>
      </c>
      <c r="B412" s="70" t="s">
        <v>78</v>
      </c>
      <c r="C412" s="69" t="s">
        <v>111</v>
      </c>
      <c r="D412" s="49">
        <f>D413</f>
        <v>1895.8</v>
      </c>
      <c r="E412" s="49">
        <f t="shared" si="170"/>
        <v>0</v>
      </c>
      <c r="F412" s="49">
        <f t="shared" si="170"/>
        <v>0</v>
      </c>
    </row>
    <row r="413" spans="1:6" ht="12.75">
      <c r="A413" s="70" t="s">
        <v>336</v>
      </c>
      <c r="B413" s="70" t="s">
        <v>147</v>
      </c>
      <c r="C413" s="69" t="s">
        <v>148</v>
      </c>
      <c r="D413" s="49">
        <f>'№5 '!E619</f>
        <v>1895.8</v>
      </c>
      <c r="E413" s="49">
        <f>'№5 '!F619</f>
        <v>0</v>
      </c>
      <c r="F413" s="49">
        <f>'№5 '!G619</f>
        <v>0</v>
      </c>
    </row>
    <row r="414" spans="1:6" ht="31.5">
      <c r="A414" s="94">
        <v>1620300000</v>
      </c>
      <c r="B414" s="94"/>
      <c r="C414" s="93" t="s">
        <v>374</v>
      </c>
      <c r="D414" s="49">
        <f>D415</f>
        <v>260</v>
      </c>
      <c r="E414" s="49">
        <f aca="true" t="shared" si="171" ref="E414:F416">E415</f>
        <v>0</v>
      </c>
      <c r="F414" s="49">
        <f t="shared" si="171"/>
        <v>0</v>
      </c>
    </row>
    <row r="415" spans="1:6" ht="31.5">
      <c r="A415" s="94">
        <v>1620320030</v>
      </c>
      <c r="B415" s="92"/>
      <c r="C415" s="93" t="s">
        <v>375</v>
      </c>
      <c r="D415" s="49">
        <f>D416</f>
        <v>260</v>
      </c>
      <c r="E415" s="49">
        <f t="shared" si="171"/>
        <v>0</v>
      </c>
      <c r="F415" s="49">
        <f t="shared" si="171"/>
        <v>0</v>
      </c>
    </row>
    <row r="416" spans="1:6" ht="31.5">
      <c r="A416" s="94">
        <v>1620320030</v>
      </c>
      <c r="B416" s="94" t="s">
        <v>75</v>
      </c>
      <c r="C416" s="93" t="s">
        <v>110</v>
      </c>
      <c r="D416" s="49">
        <f>D417</f>
        <v>260</v>
      </c>
      <c r="E416" s="49">
        <f t="shared" si="171"/>
        <v>0</v>
      </c>
      <c r="F416" s="49">
        <f t="shared" si="171"/>
        <v>0</v>
      </c>
    </row>
    <row r="417" spans="1:6" ht="31.5">
      <c r="A417" s="94">
        <v>1620320030</v>
      </c>
      <c r="B417" s="92">
        <v>240</v>
      </c>
      <c r="C417" s="199" t="s">
        <v>469</v>
      </c>
      <c r="D417" s="49">
        <f>'№5 '!E117</f>
        <v>260</v>
      </c>
      <c r="E417" s="49">
        <f>'№5 '!F117</f>
        <v>0</v>
      </c>
      <c r="F417" s="49">
        <f>'№5 '!G117</f>
        <v>0</v>
      </c>
    </row>
    <row r="418" spans="1:6" ht="47.25">
      <c r="A418" s="61">
        <v>1630000000</v>
      </c>
      <c r="B418" s="59"/>
      <c r="C418" s="60" t="s">
        <v>286</v>
      </c>
      <c r="D418" s="49">
        <f>D419+D428</f>
        <v>1950</v>
      </c>
      <c r="E418" s="49">
        <f>E419+E428</f>
        <v>2511</v>
      </c>
      <c r="F418" s="49">
        <f>F419+F428</f>
        <v>2511</v>
      </c>
    </row>
    <row r="419" spans="1:6" ht="47.25">
      <c r="A419" s="59">
        <v>1630100000</v>
      </c>
      <c r="B419" s="59"/>
      <c r="C419" s="60" t="s">
        <v>287</v>
      </c>
      <c r="D419" s="49">
        <f>D420+D425</f>
        <v>1790.6</v>
      </c>
      <c r="E419" s="49">
        <f aca="true" t="shared" si="172" ref="E419:F419">E420+E425</f>
        <v>2331</v>
      </c>
      <c r="F419" s="49">
        <f t="shared" si="172"/>
        <v>2331</v>
      </c>
    </row>
    <row r="420" spans="1:6" ht="47.25">
      <c r="A420" s="59">
        <v>1630120180</v>
      </c>
      <c r="B420" s="59"/>
      <c r="C420" s="60" t="s">
        <v>288</v>
      </c>
      <c r="D420" s="49">
        <f>D421+D423</f>
        <v>1228.6</v>
      </c>
      <c r="E420" s="49">
        <f aca="true" t="shared" si="173" ref="E420:F420">E421+E423</f>
        <v>1774.2</v>
      </c>
      <c r="F420" s="49">
        <f t="shared" si="173"/>
        <v>1774.2</v>
      </c>
    </row>
    <row r="421" spans="1:6" ht="31.5">
      <c r="A421" s="59">
        <v>1630120180</v>
      </c>
      <c r="B421" s="59" t="s">
        <v>75</v>
      </c>
      <c r="C421" s="60" t="s">
        <v>110</v>
      </c>
      <c r="D421" s="49">
        <f>D422</f>
        <v>1175</v>
      </c>
      <c r="E421" s="49">
        <f aca="true" t="shared" si="174" ref="E421:F421">E422</f>
        <v>1774.2</v>
      </c>
      <c r="F421" s="49">
        <f t="shared" si="174"/>
        <v>1774.2</v>
      </c>
    </row>
    <row r="422" spans="1:6" ht="29.45" customHeight="1">
      <c r="A422" s="59">
        <v>1630120180</v>
      </c>
      <c r="B422" s="59">
        <v>240</v>
      </c>
      <c r="C422" s="199" t="s">
        <v>469</v>
      </c>
      <c r="D422" s="49">
        <f>'№5 '!E122</f>
        <v>1175</v>
      </c>
      <c r="E422" s="49">
        <f>'№5 '!F122</f>
        <v>1774.2</v>
      </c>
      <c r="F422" s="49">
        <f>'№5 '!G122</f>
        <v>1774.2</v>
      </c>
    </row>
    <row r="423" spans="1:6" ht="31.5">
      <c r="A423" s="59">
        <v>1630120180</v>
      </c>
      <c r="B423" s="61" t="s">
        <v>112</v>
      </c>
      <c r="C423" s="60" t="s">
        <v>113</v>
      </c>
      <c r="D423" s="49">
        <f>D424</f>
        <v>53.599999999999994</v>
      </c>
      <c r="E423" s="49">
        <f aca="true" t="shared" si="175" ref="E423:F423">E424</f>
        <v>0</v>
      </c>
      <c r="F423" s="49">
        <f t="shared" si="175"/>
        <v>0</v>
      </c>
    </row>
    <row r="424" spans="1:6" ht="12.75">
      <c r="A424" s="59">
        <v>1630120180</v>
      </c>
      <c r="B424" s="59">
        <v>610</v>
      </c>
      <c r="C424" s="60" t="s">
        <v>130</v>
      </c>
      <c r="D424" s="49">
        <f>'№5 '!E255</f>
        <v>53.599999999999994</v>
      </c>
      <c r="E424" s="49">
        <f>'№5 '!F255</f>
        <v>0</v>
      </c>
      <c r="F424" s="49">
        <f>'№5 '!G255</f>
        <v>0</v>
      </c>
    </row>
    <row r="425" spans="1:6" ht="47.25">
      <c r="A425" s="59">
        <v>1630120520</v>
      </c>
      <c r="B425" s="59"/>
      <c r="C425" s="60" t="s">
        <v>298</v>
      </c>
      <c r="D425" s="49">
        <f>D426</f>
        <v>562</v>
      </c>
      <c r="E425" s="49">
        <f aca="true" t="shared" si="176" ref="E425:F425">E426</f>
        <v>556.8</v>
      </c>
      <c r="F425" s="49">
        <f t="shared" si="176"/>
        <v>556.8</v>
      </c>
    </row>
    <row r="426" spans="1:6" ht="31.5">
      <c r="A426" s="59">
        <v>1630120520</v>
      </c>
      <c r="B426" s="59" t="s">
        <v>75</v>
      </c>
      <c r="C426" s="60" t="s">
        <v>110</v>
      </c>
      <c r="D426" s="49">
        <f>D427</f>
        <v>562</v>
      </c>
      <c r="E426" s="49">
        <f aca="true" t="shared" si="177" ref="E426:F426">E427</f>
        <v>556.8</v>
      </c>
      <c r="F426" s="49">
        <f t="shared" si="177"/>
        <v>556.8</v>
      </c>
    </row>
    <row r="427" spans="1:6" ht="32.45" customHeight="1">
      <c r="A427" s="59">
        <v>1630120520</v>
      </c>
      <c r="B427" s="59">
        <v>240</v>
      </c>
      <c r="C427" s="199" t="s">
        <v>469</v>
      </c>
      <c r="D427" s="49">
        <f>'№5 '!E125</f>
        <v>562</v>
      </c>
      <c r="E427" s="49">
        <f>'№5 '!F125</f>
        <v>556.8</v>
      </c>
      <c r="F427" s="49">
        <f>'№5 '!G125</f>
        <v>556.8</v>
      </c>
    </row>
    <row r="428" spans="1:6" ht="47.25">
      <c r="A428" s="59">
        <v>1630200000</v>
      </c>
      <c r="B428" s="59"/>
      <c r="C428" s="60" t="s">
        <v>289</v>
      </c>
      <c r="D428" s="49">
        <f>D429+D432</f>
        <v>159.4</v>
      </c>
      <c r="E428" s="49">
        <f aca="true" t="shared" si="178" ref="E428:F428">E429+E432</f>
        <v>180</v>
      </c>
      <c r="F428" s="49">
        <f t="shared" si="178"/>
        <v>180</v>
      </c>
    </row>
    <row r="429" spans="1:6" ht="12.75">
      <c r="A429" s="59">
        <v>1630220530</v>
      </c>
      <c r="B429" s="59"/>
      <c r="C429" s="60" t="s">
        <v>290</v>
      </c>
      <c r="D429" s="49">
        <f>D430</f>
        <v>144</v>
      </c>
      <c r="E429" s="49">
        <f aca="true" t="shared" si="179" ref="E429:F430">E430</f>
        <v>180</v>
      </c>
      <c r="F429" s="49">
        <f t="shared" si="179"/>
        <v>180</v>
      </c>
    </row>
    <row r="430" spans="1:6" ht="31.5">
      <c r="A430" s="59">
        <v>1630220530</v>
      </c>
      <c r="B430" s="59" t="s">
        <v>75</v>
      </c>
      <c r="C430" s="60" t="s">
        <v>110</v>
      </c>
      <c r="D430" s="49">
        <f>D431</f>
        <v>144</v>
      </c>
      <c r="E430" s="49">
        <f t="shared" si="179"/>
        <v>180</v>
      </c>
      <c r="F430" s="49">
        <f t="shared" si="179"/>
        <v>180</v>
      </c>
    </row>
    <row r="431" spans="1:6" ht="33" customHeight="1">
      <c r="A431" s="59">
        <v>1630220530</v>
      </c>
      <c r="B431" s="59">
        <v>240</v>
      </c>
      <c r="C431" s="199" t="s">
        <v>469</v>
      </c>
      <c r="D431" s="49">
        <f>'№5 '!E129</f>
        <v>144</v>
      </c>
      <c r="E431" s="49">
        <f>'№5 '!F129</f>
        <v>180</v>
      </c>
      <c r="F431" s="49">
        <f>'№5 '!G129</f>
        <v>180</v>
      </c>
    </row>
    <row r="432" spans="1:6" ht="31.5">
      <c r="A432" s="59">
        <v>1630220530</v>
      </c>
      <c r="B432" s="61" t="s">
        <v>112</v>
      </c>
      <c r="C432" s="60" t="s">
        <v>113</v>
      </c>
      <c r="D432" s="49">
        <f>D433</f>
        <v>15.4</v>
      </c>
      <c r="E432" s="49">
        <f aca="true" t="shared" si="180" ref="E432:F432">E433</f>
        <v>0</v>
      </c>
      <c r="F432" s="49">
        <f t="shared" si="180"/>
        <v>0</v>
      </c>
    </row>
    <row r="433" spans="1:6" ht="12.75">
      <c r="A433" s="59">
        <v>1630220530</v>
      </c>
      <c r="B433" s="59">
        <v>610</v>
      </c>
      <c r="C433" s="60" t="s">
        <v>130</v>
      </c>
      <c r="D433" s="49">
        <f>'№5 '!E259</f>
        <v>15.4</v>
      </c>
      <c r="E433" s="49">
        <f>'№5 '!F259</f>
        <v>0</v>
      </c>
      <c r="F433" s="49">
        <f>'№5 '!G259</f>
        <v>0</v>
      </c>
    </row>
    <row r="434" spans="1:6" ht="33.75" customHeight="1">
      <c r="A434" s="61">
        <v>1640000000</v>
      </c>
      <c r="B434" s="1"/>
      <c r="C434" s="22" t="s">
        <v>279</v>
      </c>
      <c r="D434" s="49">
        <f>D435+D439</f>
        <v>505</v>
      </c>
      <c r="E434" s="49">
        <f aca="true" t="shared" si="181" ref="E434:F434">E435+E439</f>
        <v>505.5</v>
      </c>
      <c r="F434" s="49">
        <f t="shared" si="181"/>
        <v>505.5</v>
      </c>
    </row>
    <row r="435" spans="1:6" ht="31.5">
      <c r="A435" s="61">
        <v>1640100000</v>
      </c>
      <c r="B435" s="59"/>
      <c r="C435" s="60" t="s">
        <v>281</v>
      </c>
      <c r="D435" s="49">
        <f>D436</f>
        <v>479</v>
      </c>
      <c r="E435" s="49">
        <f aca="true" t="shared" si="182" ref="E435:F437">E436</f>
        <v>479</v>
      </c>
      <c r="F435" s="49">
        <f t="shared" si="182"/>
        <v>479</v>
      </c>
    </row>
    <row r="436" spans="1:6" ht="12.75">
      <c r="A436" s="61">
        <v>1640120510</v>
      </c>
      <c r="B436" s="59"/>
      <c r="C436" s="60" t="s">
        <v>283</v>
      </c>
      <c r="D436" s="49">
        <f>D437</f>
        <v>479</v>
      </c>
      <c r="E436" s="49">
        <f t="shared" si="182"/>
        <v>479</v>
      </c>
      <c r="F436" s="49">
        <f t="shared" si="182"/>
        <v>479</v>
      </c>
    </row>
    <row r="437" spans="1:6" ht="31.5">
      <c r="A437" s="61">
        <v>1640120510</v>
      </c>
      <c r="B437" s="61" t="s">
        <v>75</v>
      </c>
      <c r="C437" s="60" t="s">
        <v>110</v>
      </c>
      <c r="D437" s="49">
        <f>D438</f>
        <v>479</v>
      </c>
      <c r="E437" s="49">
        <f t="shared" si="182"/>
        <v>479</v>
      </c>
      <c r="F437" s="49">
        <f t="shared" si="182"/>
        <v>479</v>
      </c>
    </row>
    <row r="438" spans="1:6" ht="32.45" customHeight="1">
      <c r="A438" s="61">
        <v>1640120510</v>
      </c>
      <c r="B438" s="59">
        <v>240</v>
      </c>
      <c r="C438" s="199" t="s">
        <v>469</v>
      </c>
      <c r="D438" s="49">
        <f>'№5 '!E468</f>
        <v>479</v>
      </c>
      <c r="E438" s="49">
        <f>'№5 '!F468</f>
        <v>479</v>
      </c>
      <c r="F438" s="49">
        <f>'№5 '!G468</f>
        <v>479</v>
      </c>
    </row>
    <row r="439" spans="1:6" ht="31.5">
      <c r="A439" s="59">
        <v>1640200000</v>
      </c>
      <c r="B439" s="1"/>
      <c r="C439" s="22" t="s">
        <v>282</v>
      </c>
      <c r="D439" s="49">
        <f>D440</f>
        <v>26</v>
      </c>
      <c r="E439" s="49">
        <f aca="true" t="shared" si="183" ref="E439:F441">E440</f>
        <v>26.5</v>
      </c>
      <c r="F439" s="49">
        <f t="shared" si="183"/>
        <v>26.5</v>
      </c>
    </row>
    <row r="440" spans="1:6" ht="12.75">
      <c r="A440" s="59">
        <v>1640220250</v>
      </c>
      <c r="B440" s="1"/>
      <c r="C440" s="22" t="s">
        <v>280</v>
      </c>
      <c r="D440" s="49">
        <f>D441</f>
        <v>26</v>
      </c>
      <c r="E440" s="49">
        <f t="shared" si="183"/>
        <v>26.5</v>
      </c>
      <c r="F440" s="49">
        <f t="shared" si="183"/>
        <v>26.5</v>
      </c>
    </row>
    <row r="441" spans="1:6" ht="31.5">
      <c r="A441" s="59">
        <v>1640220250</v>
      </c>
      <c r="B441" s="61" t="s">
        <v>75</v>
      </c>
      <c r="C441" s="60" t="s">
        <v>110</v>
      </c>
      <c r="D441" s="49">
        <f>D442</f>
        <v>26</v>
      </c>
      <c r="E441" s="49">
        <f t="shared" si="183"/>
        <v>26.5</v>
      </c>
      <c r="F441" s="49">
        <f t="shared" si="183"/>
        <v>26.5</v>
      </c>
    </row>
    <row r="442" spans="1:6" ht="31.9" customHeight="1">
      <c r="A442" s="59">
        <v>1640220250</v>
      </c>
      <c r="B442" s="59">
        <v>240</v>
      </c>
      <c r="C442" s="199" t="s">
        <v>469</v>
      </c>
      <c r="D442" s="49">
        <f>'№5 '!E134</f>
        <v>26</v>
      </c>
      <c r="E442" s="49">
        <f>'№5 '!F134</f>
        <v>26.5</v>
      </c>
      <c r="F442" s="49">
        <f>'№5 '!G134</f>
        <v>26.5</v>
      </c>
    </row>
    <row r="443" spans="1:6" ht="12.75">
      <c r="A443" s="19">
        <v>9900000000</v>
      </c>
      <c r="B443" s="19"/>
      <c r="C443" s="33" t="s">
        <v>131</v>
      </c>
      <c r="D443" s="48">
        <f>D444+D452+D465+D448</f>
        <v>75658</v>
      </c>
      <c r="E443" s="48">
        <f aca="true" t="shared" si="184" ref="E443:F443">E444+E452+E465+E448</f>
        <v>73198</v>
      </c>
      <c r="F443" s="48">
        <f t="shared" si="184"/>
        <v>73158</v>
      </c>
    </row>
    <row r="444" spans="1:6" ht="12.75">
      <c r="A444" s="59">
        <v>9910000000</v>
      </c>
      <c r="B444" s="59"/>
      <c r="C444" s="60" t="s">
        <v>12</v>
      </c>
      <c r="D444" s="49">
        <f>D445</f>
        <v>1000</v>
      </c>
      <c r="E444" s="49">
        <f aca="true" t="shared" si="185" ref="E444:F446">E445</f>
        <v>900</v>
      </c>
      <c r="F444" s="49">
        <f t="shared" si="185"/>
        <v>800</v>
      </c>
    </row>
    <row r="445" spans="1:6" ht="31.5">
      <c r="A445" s="59">
        <v>9910020000</v>
      </c>
      <c r="B445" s="59"/>
      <c r="C445" s="60" t="s">
        <v>217</v>
      </c>
      <c r="D445" s="49">
        <f>D446</f>
        <v>1000</v>
      </c>
      <c r="E445" s="49">
        <f t="shared" si="185"/>
        <v>900</v>
      </c>
      <c r="F445" s="49">
        <f t="shared" si="185"/>
        <v>800</v>
      </c>
    </row>
    <row r="446" spans="1:6" ht="12.75">
      <c r="A446" s="59">
        <v>9910020000</v>
      </c>
      <c r="B446" s="61" t="s">
        <v>76</v>
      </c>
      <c r="C446" s="60" t="s">
        <v>77</v>
      </c>
      <c r="D446" s="49">
        <f>D447</f>
        <v>1000</v>
      </c>
      <c r="E446" s="49">
        <f t="shared" si="185"/>
        <v>900</v>
      </c>
      <c r="F446" s="49">
        <f t="shared" si="185"/>
        <v>800</v>
      </c>
    </row>
    <row r="447" spans="1:6" ht="12.75">
      <c r="A447" s="59">
        <v>9910020000</v>
      </c>
      <c r="B447" s="3" t="s">
        <v>218</v>
      </c>
      <c r="C447" s="22" t="s">
        <v>219</v>
      </c>
      <c r="D447" s="49">
        <f>'№4 '!F500</f>
        <v>1000</v>
      </c>
      <c r="E447" s="49">
        <f>'№4 '!G500</f>
        <v>900</v>
      </c>
      <c r="F447" s="49">
        <f>'№4 '!H500</f>
        <v>800</v>
      </c>
    </row>
    <row r="448" spans="1:6" ht="47.25">
      <c r="A448" s="112">
        <v>9920000000</v>
      </c>
      <c r="B448" s="112"/>
      <c r="C448" s="113" t="s">
        <v>383</v>
      </c>
      <c r="D448" s="49">
        <f>D449</f>
        <v>700.1</v>
      </c>
      <c r="E448" s="49">
        <f aca="true" t="shared" si="186" ref="E448:F450">E449</f>
        <v>0</v>
      </c>
      <c r="F448" s="49">
        <f t="shared" si="186"/>
        <v>0</v>
      </c>
    </row>
    <row r="449" spans="1:6" ht="31.5">
      <c r="A449" s="112">
        <v>9920010920</v>
      </c>
      <c r="B449" s="112"/>
      <c r="C449" s="113" t="s">
        <v>384</v>
      </c>
      <c r="D449" s="49">
        <f>D450</f>
        <v>700.1</v>
      </c>
      <c r="E449" s="49">
        <f t="shared" si="186"/>
        <v>0</v>
      </c>
      <c r="F449" s="49">
        <f t="shared" si="186"/>
        <v>0</v>
      </c>
    </row>
    <row r="450" spans="1:6" ht="31.5">
      <c r="A450" s="112">
        <v>9920010920</v>
      </c>
      <c r="B450" s="114" t="s">
        <v>112</v>
      </c>
      <c r="C450" s="113" t="s">
        <v>113</v>
      </c>
      <c r="D450" s="49">
        <f>D451</f>
        <v>700.1</v>
      </c>
      <c r="E450" s="49">
        <f t="shared" si="186"/>
        <v>0</v>
      </c>
      <c r="F450" s="49">
        <f t="shared" si="186"/>
        <v>0</v>
      </c>
    </row>
    <row r="451" spans="1:6" ht="12.75">
      <c r="A451" s="112">
        <v>9920010920</v>
      </c>
      <c r="B451" s="112">
        <v>610</v>
      </c>
      <c r="C451" s="113" t="s">
        <v>130</v>
      </c>
      <c r="D451" s="49">
        <f>'№5 '!E461+'№5 '!E579+'№5 '!E424</f>
        <v>700.1</v>
      </c>
      <c r="E451" s="49">
        <f>'№5 '!F461+'№5 '!F579+'№5 '!F424</f>
        <v>0</v>
      </c>
      <c r="F451" s="49">
        <f>'№5 '!G461+'№5 '!G579+'№5 '!G424</f>
        <v>0</v>
      </c>
    </row>
    <row r="452" spans="1:6" ht="31.5">
      <c r="A452" s="59">
        <v>9930000000</v>
      </c>
      <c r="B452" s="59"/>
      <c r="C452" s="60" t="s">
        <v>212</v>
      </c>
      <c r="D452" s="49">
        <f>D456+D462+D453+D459</f>
        <v>1865.4999999999998</v>
      </c>
      <c r="E452" s="49">
        <f aca="true" t="shared" si="187" ref="E452:F452">E456+E462+E453+E459</f>
        <v>309.5</v>
      </c>
      <c r="F452" s="49">
        <f t="shared" si="187"/>
        <v>315.7</v>
      </c>
    </row>
    <row r="453" spans="1:6" ht="31.5">
      <c r="A453" s="68">
        <v>9930020490</v>
      </c>
      <c r="B453" s="68"/>
      <c r="C453" s="69" t="s">
        <v>347</v>
      </c>
      <c r="D453" s="49">
        <f>D454</f>
        <v>1590.1999999999998</v>
      </c>
      <c r="E453" s="49">
        <f aca="true" t="shared" si="188" ref="E453:F454">E454</f>
        <v>0</v>
      </c>
      <c r="F453" s="49">
        <f t="shared" si="188"/>
        <v>0</v>
      </c>
    </row>
    <row r="454" spans="1:6" ht="12.75">
      <c r="A454" s="68">
        <v>9930020490</v>
      </c>
      <c r="B454" s="13" t="s">
        <v>76</v>
      </c>
      <c r="C454" s="73" t="s">
        <v>77</v>
      </c>
      <c r="D454" s="49">
        <f>D455</f>
        <v>1590.1999999999998</v>
      </c>
      <c r="E454" s="49">
        <f t="shared" si="188"/>
        <v>0</v>
      </c>
      <c r="F454" s="49">
        <f t="shared" si="188"/>
        <v>0</v>
      </c>
    </row>
    <row r="455" spans="1:6" ht="12.75">
      <c r="A455" s="68">
        <v>9930020490</v>
      </c>
      <c r="B455" s="1" t="s">
        <v>348</v>
      </c>
      <c r="C455" s="22" t="s">
        <v>349</v>
      </c>
      <c r="D455" s="49">
        <f>'№5 '!E139</f>
        <v>1590.1999999999998</v>
      </c>
      <c r="E455" s="49">
        <f>'№5 '!F139</f>
        <v>0</v>
      </c>
      <c r="F455" s="49">
        <f>'№5 '!G139</f>
        <v>0</v>
      </c>
    </row>
    <row r="456" spans="1:6" ht="12.75">
      <c r="A456" s="59">
        <v>9930020500</v>
      </c>
      <c r="B456" s="59"/>
      <c r="C456" s="60" t="s">
        <v>114</v>
      </c>
      <c r="D456" s="49">
        <f>D457</f>
        <v>90.30000000000001</v>
      </c>
      <c r="E456" s="49">
        <f aca="true" t="shared" si="189" ref="E456:F457">E457</f>
        <v>300</v>
      </c>
      <c r="F456" s="49">
        <f t="shared" si="189"/>
        <v>300</v>
      </c>
    </row>
    <row r="457" spans="1:6" ht="12.75">
      <c r="A457" s="59">
        <v>9930020500</v>
      </c>
      <c r="B457" s="59" t="s">
        <v>115</v>
      </c>
      <c r="C457" s="60" t="s">
        <v>116</v>
      </c>
      <c r="D457" s="49">
        <f>D458</f>
        <v>90.30000000000001</v>
      </c>
      <c r="E457" s="49">
        <f t="shared" si="189"/>
        <v>300</v>
      </c>
      <c r="F457" s="49">
        <f t="shared" si="189"/>
        <v>300</v>
      </c>
    </row>
    <row r="458" spans="1:6" ht="12.75">
      <c r="A458" s="59">
        <v>9930020500</v>
      </c>
      <c r="B458" s="1" t="s">
        <v>220</v>
      </c>
      <c r="C458" s="22" t="s">
        <v>114</v>
      </c>
      <c r="D458" s="49">
        <f>'№4 '!F527</f>
        <v>90.30000000000001</v>
      </c>
      <c r="E458" s="49">
        <f>'№4 '!G527</f>
        <v>300</v>
      </c>
      <c r="F458" s="49">
        <f>'№4 '!H527</f>
        <v>300</v>
      </c>
    </row>
    <row r="459" spans="1:6" ht="47.25">
      <c r="A459" s="78">
        <v>9930020510</v>
      </c>
      <c r="B459" s="78"/>
      <c r="C459" s="79" t="s">
        <v>358</v>
      </c>
      <c r="D459" s="49">
        <f>D460</f>
        <v>40</v>
      </c>
      <c r="E459" s="49">
        <f aca="true" t="shared" si="190" ref="E459:F460">E460</f>
        <v>0</v>
      </c>
      <c r="F459" s="49">
        <f t="shared" si="190"/>
        <v>0</v>
      </c>
    </row>
    <row r="460" spans="1:6" ht="31.5">
      <c r="A460" s="78">
        <v>9930020510</v>
      </c>
      <c r="B460" s="78" t="s">
        <v>75</v>
      </c>
      <c r="C460" s="79" t="s">
        <v>110</v>
      </c>
      <c r="D460" s="49">
        <f>D461</f>
        <v>40</v>
      </c>
      <c r="E460" s="49">
        <f t="shared" si="190"/>
        <v>0</v>
      </c>
      <c r="F460" s="49">
        <f t="shared" si="190"/>
        <v>0</v>
      </c>
    </row>
    <row r="461" spans="1:6" ht="30.6" customHeight="1">
      <c r="A461" s="78">
        <v>9930020510</v>
      </c>
      <c r="B461" s="78">
        <v>240</v>
      </c>
      <c r="C461" s="199" t="s">
        <v>469</v>
      </c>
      <c r="D461" s="49">
        <f>'№5 '!E142</f>
        <v>40</v>
      </c>
      <c r="E461" s="49">
        <f>'№5 '!F142</f>
        <v>0</v>
      </c>
      <c r="F461" s="49">
        <f>'№5 '!G142</f>
        <v>0</v>
      </c>
    </row>
    <row r="462" spans="1:6" ht="47.25">
      <c r="A462" s="59">
        <v>9930051200</v>
      </c>
      <c r="B462" s="59"/>
      <c r="C462" s="60" t="s">
        <v>213</v>
      </c>
      <c r="D462" s="49">
        <f>D463</f>
        <v>145</v>
      </c>
      <c r="E462" s="49">
        <f aca="true" t="shared" si="191" ref="E462:F463">E463</f>
        <v>9.5</v>
      </c>
      <c r="F462" s="49">
        <f t="shared" si="191"/>
        <v>15.7</v>
      </c>
    </row>
    <row r="463" spans="1:6" ht="31.5">
      <c r="A463" s="59">
        <v>9930051200</v>
      </c>
      <c r="B463" s="59" t="s">
        <v>75</v>
      </c>
      <c r="C463" s="60" t="s">
        <v>110</v>
      </c>
      <c r="D463" s="49">
        <f>D464</f>
        <v>145</v>
      </c>
      <c r="E463" s="49">
        <f t="shared" si="191"/>
        <v>9.5</v>
      </c>
      <c r="F463" s="49">
        <f t="shared" si="191"/>
        <v>15.7</v>
      </c>
    </row>
    <row r="464" spans="1:6" ht="31.15" customHeight="1">
      <c r="A464" s="59">
        <v>9930051200</v>
      </c>
      <c r="B464" s="59">
        <v>240</v>
      </c>
      <c r="C464" s="199" t="s">
        <v>469</v>
      </c>
      <c r="D464" s="49">
        <f>'№4 '!F42</f>
        <v>145</v>
      </c>
      <c r="E464" s="49">
        <f>'№4 '!G42</f>
        <v>9.5</v>
      </c>
      <c r="F464" s="49">
        <f>'№4 '!H42</f>
        <v>15.7</v>
      </c>
    </row>
    <row r="465" spans="1:6" ht="31.5">
      <c r="A465" s="59">
        <v>9990000000</v>
      </c>
      <c r="B465" s="59"/>
      <c r="C465" s="60" t="s">
        <v>199</v>
      </c>
      <c r="D465" s="49">
        <f>D466+D469+D483+D514</f>
        <v>72092.4</v>
      </c>
      <c r="E465" s="49">
        <f>E466+E469+E483+E514</f>
        <v>71988.5</v>
      </c>
      <c r="F465" s="49">
        <f>F466+F469+F483+F514</f>
        <v>72042.3</v>
      </c>
    </row>
    <row r="466" spans="1:6" ht="12.75">
      <c r="A466" s="59">
        <v>9990021000</v>
      </c>
      <c r="B466" s="31"/>
      <c r="C466" s="60" t="s">
        <v>200</v>
      </c>
      <c r="D466" s="49">
        <f>D467</f>
        <v>1782.1</v>
      </c>
      <c r="E466" s="49">
        <f aca="true" t="shared" si="192" ref="E466:F467">E467</f>
        <v>1479</v>
      </c>
      <c r="F466" s="49">
        <f t="shared" si="192"/>
        <v>1479</v>
      </c>
    </row>
    <row r="467" spans="1:6" ht="63">
      <c r="A467" s="59">
        <v>9990021000</v>
      </c>
      <c r="B467" s="59" t="s">
        <v>74</v>
      </c>
      <c r="C467" s="60" t="s">
        <v>2</v>
      </c>
      <c r="D467" s="49">
        <f>D468</f>
        <v>1782.1</v>
      </c>
      <c r="E467" s="49">
        <f t="shared" si="192"/>
        <v>1479</v>
      </c>
      <c r="F467" s="49">
        <f t="shared" si="192"/>
        <v>1479</v>
      </c>
    </row>
    <row r="468" spans="1:6" ht="33" customHeight="1">
      <c r="A468" s="59">
        <v>9990021000</v>
      </c>
      <c r="B468" s="59">
        <v>120</v>
      </c>
      <c r="C468" s="60" t="s">
        <v>471</v>
      </c>
      <c r="D468" s="49">
        <f>'№5 '!E14</f>
        <v>1782.1</v>
      </c>
      <c r="E468" s="49">
        <f>'№5 '!F14</f>
        <v>1479</v>
      </c>
      <c r="F468" s="49">
        <f>'№5 '!G14</f>
        <v>1479</v>
      </c>
    </row>
    <row r="469" spans="1:6" ht="31.5">
      <c r="A469" s="59">
        <v>9990100000</v>
      </c>
      <c r="B469" s="59"/>
      <c r="C469" s="60" t="s">
        <v>221</v>
      </c>
      <c r="D469" s="49">
        <f>D470+D473+D480</f>
        <v>4114.299999999999</v>
      </c>
      <c r="E469" s="49">
        <f aca="true" t="shared" si="193" ref="E469:F469">E470+E473+E480</f>
        <v>4114.3</v>
      </c>
      <c r="F469" s="49">
        <f t="shared" si="193"/>
        <v>4114.3</v>
      </c>
    </row>
    <row r="470" spans="1:6" ht="12.75">
      <c r="A470" s="59">
        <v>9990122000</v>
      </c>
      <c r="B470" s="59"/>
      <c r="C470" s="60" t="s">
        <v>222</v>
      </c>
      <c r="D470" s="49">
        <f>D471</f>
        <v>1208.6</v>
      </c>
      <c r="E470" s="49">
        <f aca="true" t="shared" si="194" ref="E470:F471">E471</f>
        <v>1208.6</v>
      </c>
      <c r="F470" s="49">
        <f t="shared" si="194"/>
        <v>1208.6</v>
      </c>
    </row>
    <row r="471" spans="1:6" ht="63">
      <c r="A471" s="59">
        <v>9990122000</v>
      </c>
      <c r="B471" s="61" t="s">
        <v>74</v>
      </c>
      <c r="C471" s="60" t="s">
        <v>2</v>
      </c>
      <c r="D471" s="49">
        <f>D472</f>
        <v>1208.6</v>
      </c>
      <c r="E471" s="49">
        <f t="shared" si="194"/>
        <v>1208.6</v>
      </c>
      <c r="F471" s="49">
        <f t="shared" si="194"/>
        <v>1208.6</v>
      </c>
    </row>
    <row r="472" spans="1:6" ht="33" customHeight="1">
      <c r="A472" s="59">
        <v>9990122000</v>
      </c>
      <c r="B472" s="59">
        <v>120</v>
      </c>
      <c r="C472" s="60" t="s">
        <v>471</v>
      </c>
      <c r="D472" s="49">
        <f>'№5 '!E21</f>
        <v>1208.6</v>
      </c>
      <c r="E472" s="49">
        <f>'№5 '!F21</f>
        <v>1208.6</v>
      </c>
      <c r="F472" s="49">
        <f>'№5 '!G21</f>
        <v>1208.6</v>
      </c>
    </row>
    <row r="473" spans="1:6" ht="31.5">
      <c r="A473" s="59">
        <v>9990123000</v>
      </c>
      <c r="B473" s="59"/>
      <c r="C473" s="60" t="s">
        <v>223</v>
      </c>
      <c r="D473" s="49">
        <f>D474+D476+D478</f>
        <v>2615.7999999999997</v>
      </c>
      <c r="E473" s="49">
        <f aca="true" t="shared" si="195" ref="E473:F473">E474+E476+E478</f>
        <v>2447.1</v>
      </c>
      <c r="F473" s="49">
        <f t="shared" si="195"/>
        <v>2447.1</v>
      </c>
    </row>
    <row r="474" spans="1:6" ht="63">
      <c r="A474" s="59">
        <v>9990123000</v>
      </c>
      <c r="B474" s="59" t="s">
        <v>74</v>
      </c>
      <c r="C474" s="60" t="s">
        <v>2</v>
      </c>
      <c r="D474" s="49">
        <f>D475</f>
        <v>2074.4</v>
      </c>
      <c r="E474" s="49">
        <f aca="true" t="shared" si="196" ref="E474:F474">E475</f>
        <v>2069.9</v>
      </c>
      <c r="F474" s="49">
        <f t="shared" si="196"/>
        <v>2069.9</v>
      </c>
    </row>
    <row r="475" spans="1:6" ht="33" customHeight="1">
      <c r="A475" s="59">
        <v>9990123000</v>
      </c>
      <c r="B475" s="59">
        <v>120</v>
      </c>
      <c r="C475" s="60" t="s">
        <v>471</v>
      </c>
      <c r="D475" s="49">
        <f>'№5 '!E24</f>
        <v>2074.4</v>
      </c>
      <c r="E475" s="49">
        <f>'№5 '!F24</f>
        <v>2069.9</v>
      </c>
      <c r="F475" s="49">
        <f>'№5 '!G24</f>
        <v>2069.9</v>
      </c>
    </row>
    <row r="476" spans="1:6" ht="32.45" customHeight="1">
      <c r="A476" s="59">
        <v>9990123000</v>
      </c>
      <c r="B476" s="110" t="s">
        <v>75</v>
      </c>
      <c r="C476" s="109" t="s">
        <v>110</v>
      </c>
      <c r="D476" s="49">
        <f>D477</f>
        <v>539.1999999999999</v>
      </c>
      <c r="E476" s="49">
        <f aca="true" t="shared" si="197" ref="E476:F476">E477</f>
        <v>375</v>
      </c>
      <c r="F476" s="49">
        <f t="shared" si="197"/>
        <v>375</v>
      </c>
    </row>
    <row r="477" spans="1:6" ht="32.45" customHeight="1">
      <c r="A477" s="59">
        <v>9990123000</v>
      </c>
      <c r="B477" s="108">
        <v>240</v>
      </c>
      <c r="C477" s="199" t="s">
        <v>469</v>
      </c>
      <c r="D477" s="49">
        <f>'№5 '!E26</f>
        <v>539.1999999999999</v>
      </c>
      <c r="E477" s="49">
        <f>'№5 '!F26</f>
        <v>375</v>
      </c>
      <c r="F477" s="49">
        <f>'№5 '!G26</f>
        <v>375</v>
      </c>
    </row>
    <row r="478" spans="1:6" ht="12.75">
      <c r="A478" s="59">
        <v>9990123000</v>
      </c>
      <c r="B478" s="59" t="s">
        <v>76</v>
      </c>
      <c r="C478" s="60" t="s">
        <v>77</v>
      </c>
      <c r="D478" s="49">
        <f>D479</f>
        <v>2.2</v>
      </c>
      <c r="E478" s="49">
        <f aca="true" t="shared" si="198" ref="E478:F478">E479</f>
        <v>2.2</v>
      </c>
      <c r="F478" s="49">
        <f t="shared" si="198"/>
        <v>2.2</v>
      </c>
    </row>
    <row r="479" spans="1:6" ht="12.75">
      <c r="A479" s="59">
        <v>9990123000</v>
      </c>
      <c r="B479" s="59">
        <v>850</v>
      </c>
      <c r="C479" s="60" t="s">
        <v>126</v>
      </c>
      <c r="D479" s="49">
        <f>'№5 '!E28</f>
        <v>2.2</v>
      </c>
      <c r="E479" s="49">
        <f>'№5 '!F28</f>
        <v>2.2</v>
      </c>
      <c r="F479" s="49">
        <f>'№5 '!G28</f>
        <v>2.2</v>
      </c>
    </row>
    <row r="480" spans="1:6" ht="12.75">
      <c r="A480" s="59">
        <v>9990124000</v>
      </c>
      <c r="B480" s="59"/>
      <c r="C480" s="60" t="s">
        <v>224</v>
      </c>
      <c r="D480" s="49">
        <f>D481</f>
        <v>289.90000000000003</v>
      </c>
      <c r="E480" s="49">
        <f aca="true" t="shared" si="199" ref="E480:F481">E481</f>
        <v>458.6</v>
      </c>
      <c r="F480" s="49">
        <f t="shared" si="199"/>
        <v>458.6</v>
      </c>
    </row>
    <row r="481" spans="1:6" ht="63">
      <c r="A481" s="59">
        <v>9990124000</v>
      </c>
      <c r="B481" s="59" t="s">
        <v>74</v>
      </c>
      <c r="C481" s="60" t="s">
        <v>2</v>
      </c>
      <c r="D481" s="49">
        <f>D482</f>
        <v>289.90000000000003</v>
      </c>
      <c r="E481" s="49">
        <f t="shared" si="199"/>
        <v>458.6</v>
      </c>
      <c r="F481" s="49">
        <f t="shared" si="199"/>
        <v>458.6</v>
      </c>
    </row>
    <row r="482" spans="1:6" ht="31.9" customHeight="1">
      <c r="A482" s="59">
        <v>9990124000</v>
      </c>
      <c r="B482" s="59">
        <v>120</v>
      </c>
      <c r="C482" s="199" t="s">
        <v>471</v>
      </c>
      <c r="D482" s="49">
        <f>'№5 '!E31</f>
        <v>289.90000000000003</v>
      </c>
      <c r="E482" s="49">
        <f>'№5 '!F31</f>
        <v>458.6</v>
      </c>
      <c r="F482" s="49">
        <f>'№5 '!G31</f>
        <v>458.6</v>
      </c>
    </row>
    <row r="483" spans="1:6" ht="31.5">
      <c r="A483" s="59">
        <v>9990200000</v>
      </c>
      <c r="B483" s="31"/>
      <c r="C483" s="60" t="s">
        <v>145</v>
      </c>
      <c r="D483" s="49">
        <f>D497+D506+D484+D489+D509+D494</f>
        <v>43463.4</v>
      </c>
      <c r="E483" s="49">
        <f>E497+E506+E484+E489+E509+E494</f>
        <v>36228.399999999994</v>
      </c>
      <c r="F483" s="49">
        <f>F497+F506+F484+F489+F509+F494</f>
        <v>36282.2</v>
      </c>
    </row>
    <row r="484" spans="1:6" ht="47.25">
      <c r="A484" s="59">
        <v>9990210510</v>
      </c>
      <c r="B484" s="59"/>
      <c r="C484" s="60" t="s">
        <v>202</v>
      </c>
      <c r="D484" s="49">
        <f>D485+D487</f>
        <v>650</v>
      </c>
      <c r="E484" s="49">
        <f aca="true" t="shared" si="200" ref="E484:F484">E485+E487</f>
        <v>650</v>
      </c>
      <c r="F484" s="49">
        <f t="shared" si="200"/>
        <v>650</v>
      </c>
    </row>
    <row r="485" spans="1:6" ht="63">
      <c r="A485" s="59">
        <v>9990210510</v>
      </c>
      <c r="B485" s="59" t="s">
        <v>74</v>
      </c>
      <c r="C485" s="60" t="s">
        <v>2</v>
      </c>
      <c r="D485" s="49">
        <f>D486</f>
        <v>575</v>
      </c>
      <c r="E485" s="49">
        <f aca="true" t="shared" si="201" ref="E485:F485">E486</f>
        <v>575</v>
      </c>
      <c r="F485" s="49">
        <f t="shared" si="201"/>
        <v>575</v>
      </c>
    </row>
    <row r="486" spans="1:6" ht="31.5">
      <c r="A486" s="59">
        <v>9990210510</v>
      </c>
      <c r="B486" s="59">
        <v>120</v>
      </c>
      <c r="C486" s="199" t="s">
        <v>471</v>
      </c>
      <c r="D486" s="49">
        <f>'№5 '!E38</f>
        <v>575</v>
      </c>
      <c r="E486" s="49">
        <f>'№5 '!F38</f>
        <v>575</v>
      </c>
      <c r="F486" s="49">
        <f>'№5 '!G38</f>
        <v>575</v>
      </c>
    </row>
    <row r="487" spans="1:6" ht="31.5">
      <c r="A487" s="59">
        <v>9990210510</v>
      </c>
      <c r="B487" s="59" t="s">
        <v>75</v>
      </c>
      <c r="C487" s="60" t="s">
        <v>110</v>
      </c>
      <c r="D487" s="49">
        <f>D488</f>
        <v>75</v>
      </c>
      <c r="E487" s="49">
        <f aca="true" t="shared" si="202" ref="E487:F487">E488</f>
        <v>75</v>
      </c>
      <c r="F487" s="49">
        <f t="shared" si="202"/>
        <v>75</v>
      </c>
    </row>
    <row r="488" spans="1:6" ht="31.5">
      <c r="A488" s="59">
        <v>9990210510</v>
      </c>
      <c r="B488" s="59">
        <v>240</v>
      </c>
      <c r="C488" s="199" t="s">
        <v>469</v>
      </c>
      <c r="D488" s="49">
        <f>'№5 '!E40</f>
        <v>75</v>
      </c>
      <c r="E488" s="49">
        <f>'№5 '!F40</f>
        <v>75</v>
      </c>
      <c r="F488" s="49">
        <f>'№5 '!G40</f>
        <v>75</v>
      </c>
    </row>
    <row r="489" spans="1:6" ht="63">
      <c r="A489" s="59">
        <v>9990210540</v>
      </c>
      <c r="B489" s="59"/>
      <c r="C489" s="60" t="s">
        <v>209</v>
      </c>
      <c r="D489" s="49">
        <f>D490+D492</f>
        <v>264</v>
      </c>
      <c r="E489" s="49">
        <f aca="true" t="shared" si="203" ref="E489:F489">E490+E492</f>
        <v>264</v>
      </c>
      <c r="F489" s="49">
        <f t="shared" si="203"/>
        <v>264</v>
      </c>
    </row>
    <row r="490" spans="1:6" ht="63">
      <c r="A490" s="59">
        <v>9990210540</v>
      </c>
      <c r="B490" s="59" t="s">
        <v>74</v>
      </c>
      <c r="C490" s="60" t="s">
        <v>2</v>
      </c>
      <c r="D490" s="49">
        <f>D491</f>
        <v>256.3</v>
      </c>
      <c r="E490" s="49">
        <f aca="true" t="shared" si="204" ref="E490:F490">E491</f>
        <v>256.3</v>
      </c>
      <c r="F490" s="49">
        <f t="shared" si="204"/>
        <v>256.3</v>
      </c>
    </row>
    <row r="491" spans="1:6" ht="31.5">
      <c r="A491" s="59">
        <v>9990210540</v>
      </c>
      <c r="B491" s="59">
        <v>120</v>
      </c>
      <c r="C491" s="199" t="s">
        <v>471</v>
      </c>
      <c r="D491" s="49">
        <f>'№5 '!E147</f>
        <v>256.3</v>
      </c>
      <c r="E491" s="49">
        <f>'№5 '!F147</f>
        <v>256.3</v>
      </c>
      <c r="F491" s="49">
        <f>'№5 '!G147</f>
        <v>256.3</v>
      </c>
    </row>
    <row r="492" spans="1:6" ht="31.5">
      <c r="A492" s="59">
        <v>9990210540</v>
      </c>
      <c r="B492" s="59" t="s">
        <v>75</v>
      </c>
      <c r="C492" s="60" t="s">
        <v>110</v>
      </c>
      <c r="D492" s="49">
        <f>D493</f>
        <v>7.7</v>
      </c>
      <c r="E492" s="49">
        <f aca="true" t="shared" si="205" ref="E492:F492">E493</f>
        <v>7.7</v>
      </c>
      <c r="F492" s="49">
        <f t="shared" si="205"/>
        <v>7.7</v>
      </c>
    </row>
    <row r="493" spans="1:6" ht="31.5">
      <c r="A493" s="59">
        <v>9990210540</v>
      </c>
      <c r="B493" s="59">
        <v>240</v>
      </c>
      <c r="C493" s="199" t="s">
        <v>469</v>
      </c>
      <c r="D493" s="49">
        <f>'№5 '!E149</f>
        <v>7.7</v>
      </c>
      <c r="E493" s="49">
        <f>'№5 '!F149</f>
        <v>7.7</v>
      </c>
      <c r="F493" s="49">
        <f>'№5 '!G149</f>
        <v>7.7</v>
      </c>
    </row>
    <row r="494" spans="1:6" ht="78.75">
      <c r="A494" s="112">
        <v>9990210570</v>
      </c>
      <c r="B494" s="112"/>
      <c r="C494" s="113" t="s">
        <v>409</v>
      </c>
      <c r="D494" s="49">
        <f>D495</f>
        <v>2.6</v>
      </c>
      <c r="E494" s="49">
        <f aca="true" t="shared" si="206" ref="E494:F495">E495</f>
        <v>0</v>
      </c>
      <c r="F494" s="49">
        <f t="shared" si="206"/>
        <v>0</v>
      </c>
    </row>
    <row r="495" spans="1:6" ht="63">
      <c r="A495" s="112">
        <v>9990210570</v>
      </c>
      <c r="B495" s="112" t="s">
        <v>74</v>
      </c>
      <c r="C495" s="113" t="s">
        <v>2</v>
      </c>
      <c r="D495" s="49">
        <f>D496</f>
        <v>2.6</v>
      </c>
      <c r="E495" s="49">
        <f t="shared" si="206"/>
        <v>0</v>
      </c>
      <c r="F495" s="49">
        <f t="shared" si="206"/>
        <v>0</v>
      </c>
    </row>
    <row r="496" spans="1:6" ht="31.5">
      <c r="A496" s="112">
        <v>9990210570</v>
      </c>
      <c r="B496" s="112">
        <v>120</v>
      </c>
      <c r="C496" s="199" t="s">
        <v>471</v>
      </c>
      <c r="D496" s="49">
        <f>'№5 '!E152</f>
        <v>2.6</v>
      </c>
      <c r="E496" s="49">
        <f>'№5 '!F152</f>
        <v>0</v>
      </c>
      <c r="F496" s="49">
        <f>'№5 '!G152</f>
        <v>0</v>
      </c>
    </row>
    <row r="497" spans="1:6" ht="47.25">
      <c r="A497" s="59">
        <v>9990225000</v>
      </c>
      <c r="B497" s="59"/>
      <c r="C497" s="60" t="s">
        <v>146</v>
      </c>
      <c r="D497" s="49">
        <f>D498+D500+D504+D502</f>
        <v>40686.8</v>
      </c>
      <c r="E497" s="49">
        <f aca="true" t="shared" si="207" ref="E497:F497">E498+E500+E504+E502</f>
        <v>33292.399999999994</v>
      </c>
      <c r="F497" s="49">
        <f t="shared" si="207"/>
        <v>33292.399999999994</v>
      </c>
    </row>
    <row r="498" spans="1:6" ht="63">
      <c r="A498" s="59">
        <v>9990225000</v>
      </c>
      <c r="B498" s="59" t="s">
        <v>74</v>
      </c>
      <c r="C498" s="60" t="s">
        <v>2</v>
      </c>
      <c r="D498" s="49">
        <f>D499</f>
        <v>38135.299999999996</v>
      </c>
      <c r="E498" s="49">
        <f aca="true" t="shared" si="208" ref="E498:F498">E499</f>
        <v>33292.399999999994</v>
      </c>
      <c r="F498" s="49">
        <f t="shared" si="208"/>
        <v>33292.399999999994</v>
      </c>
    </row>
    <row r="499" spans="1:6" ht="31.9" customHeight="1">
      <c r="A499" s="59">
        <v>9990225000</v>
      </c>
      <c r="B499" s="59">
        <v>120</v>
      </c>
      <c r="C499" s="199" t="s">
        <v>471</v>
      </c>
      <c r="D499" s="49">
        <f>'№5 '!E690+'№5 '!E523+'№5 '!E155+'№5 '!E65+'№5 '!E43</f>
        <v>38135.299999999996</v>
      </c>
      <c r="E499" s="49">
        <f>'№5 '!F690+'№5 '!F523+'№5 '!F155+'№5 '!F65+'№5 '!F43</f>
        <v>33292.399999999994</v>
      </c>
      <c r="F499" s="49">
        <f>'№5 '!G690+'№5 '!G523+'№5 '!G155+'№5 '!G65+'№5 '!G43</f>
        <v>33292.399999999994</v>
      </c>
    </row>
    <row r="500" spans="1:6" ht="31.5">
      <c r="A500" s="59">
        <v>9990225000</v>
      </c>
      <c r="B500" s="59" t="s">
        <v>75</v>
      </c>
      <c r="C500" s="60" t="s">
        <v>110</v>
      </c>
      <c r="D500" s="49">
        <f>D501</f>
        <v>2275.9</v>
      </c>
      <c r="E500" s="49">
        <f aca="true" t="shared" si="209" ref="E500:F500">E501</f>
        <v>0</v>
      </c>
      <c r="F500" s="49">
        <f t="shared" si="209"/>
        <v>0</v>
      </c>
    </row>
    <row r="501" spans="1:6" ht="30.6" customHeight="1">
      <c r="A501" s="59">
        <v>9990225000</v>
      </c>
      <c r="B501" s="59">
        <v>240</v>
      </c>
      <c r="C501" s="199" t="s">
        <v>469</v>
      </c>
      <c r="D501" s="49">
        <f>'№5 '!E45+'№5 '!E67+'№5 '!E157+'№5 '!E692</f>
        <v>2275.9</v>
      </c>
      <c r="E501" s="49">
        <f>'№5 '!F45+'№5 '!F67+'№5 '!F157+'№5 '!F692</f>
        <v>0</v>
      </c>
      <c r="F501" s="49">
        <f>'№5 '!G45+'№5 '!G67+'№5 '!G157+'№5 '!G692</f>
        <v>0</v>
      </c>
    </row>
    <row r="502" spans="1:6" ht="18.75" customHeight="1">
      <c r="A502" s="141">
        <v>9990225000</v>
      </c>
      <c r="B502" s="141">
        <v>300</v>
      </c>
      <c r="C502" s="142" t="s">
        <v>80</v>
      </c>
      <c r="D502" s="49">
        <f>D503</f>
        <v>129.3</v>
      </c>
      <c r="E502" s="49">
        <f aca="true" t="shared" si="210" ref="E502:F502">E503</f>
        <v>0</v>
      </c>
      <c r="F502" s="49">
        <f t="shared" si="210"/>
        <v>0</v>
      </c>
    </row>
    <row r="503" spans="1:6" ht="30.6" customHeight="1">
      <c r="A503" s="141">
        <v>9990225000</v>
      </c>
      <c r="B503" s="141">
        <v>320</v>
      </c>
      <c r="C503" s="142" t="s">
        <v>128</v>
      </c>
      <c r="D503" s="49">
        <f>'№5 '!E47</f>
        <v>129.3</v>
      </c>
      <c r="E503" s="49">
        <f>'№5 '!F47</f>
        <v>0</v>
      </c>
      <c r="F503" s="49">
        <f>'№5 '!G47</f>
        <v>0</v>
      </c>
    </row>
    <row r="504" spans="1:6" ht="12.75">
      <c r="A504" s="59">
        <v>9990225000</v>
      </c>
      <c r="B504" s="59" t="s">
        <v>76</v>
      </c>
      <c r="C504" s="60" t="s">
        <v>77</v>
      </c>
      <c r="D504" s="49">
        <f>D505</f>
        <v>146.3</v>
      </c>
      <c r="E504" s="49">
        <f aca="true" t="shared" si="211" ref="E504:F504">E505</f>
        <v>0</v>
      </c>
      <c r="F504" s="49">
        <f t="shared" si="211"/>
        <v>0</v>
      </c>
    </row>
    <row r="505" spans="1:6" ht="12.75">
      <c r="A505" s="59">
        <v>9990225000</v>
      </c>
      <c r="B505" s="59">
        <v>850</v>
      </c>
      <c r="C505" s="60" t="s">
        <v>126</v>
      </c>
      <c r="D505" s="49">
        <f>'№5 '!E49+'№5 '!E69</f>
        <v>146.3</v>
      </c>
      <c r="E505" s="49">
        <f>'№5 '!F49+'№5 '!F69</f>
        <v>0</v>
      </c>
      <c r="F505" s="49">
        <f>'№5 '!G49+'№5 '!G69</f>
        <v>0</v>
      </c>
    </row>
    <row r="506" spans="1:6" ht="47.25">
      <c r="A506" s="59">
        <v>9990226000</v>
      </c>
      <c r="B506" s="59"/>
      <c r="C506" s="60" t="s">
        <v>201</v>
      </c>
      <c r="D506" s="49">
        <f>D507</f>
        <v>540.5999999999999</v>
      </c>
      <c r="E506" s="49">
        <f aca="true" t="shared" si="212" ref="E506:F506">E507</f>
        <v>656.8</v>
      </c>
      <c r="F506" s="49">
        <f t="shared" si="212"/>
        <v>656.8</v>
      </c>
    </row>
    <row r="507" spans="1:6" ht="63">
      <c r="A507" s="59">
        <v>9990226000</v>
      </c>
      <c r="B507" s="59" t="s">
        <v>74</v>
      </c>
      <c r="C507" s="60" t="s">
        <v>2</v>
      </c>
      <c r="D507" s="49">
        <f>D508</f>
        <v>540.5999999999999</v>
      </c>
      <c r="E507" s="49">
        <f aca="true" t="shared" si="213" ref="E507:F507">E508</f>
        <v>656.8</v>
      </c>
      <c r="F507" s="49">
        <f t="shared" si="213"/>
        <v>656.8</v>
      </c>
    </row>
    <row r="508" spans="1:6" ht="33" customHeight="1">
      <c r="A508" s="59">
        <v>9990226000</v>
      </c>
      <c r="B508" s="59">
        <v>120</v>
      </c>
      <c r="C508" s="60" t="s">
        <v>124</v>
      </c>
      <c r="D508" s="49">
        <f>'№5 '!E175+'№5 '!E160+'№5 '!E52</f>
        <v>540.5999999999999</v>
      </c>
      <c r="E508" s="49">
        <f>'№5 '!F175+'№5 '!F160+'№5 '!F52</f>
        <v>656.8</v>
      </c>
      <c r="F508" s="49">
        <f>'№5 '!G175+'№5 '!G160+'№5 '!G52</f>
        <v>656.8</v>
      </c>
    </row>
    <row r="509" spans="1:6" ht="31.5">
      <c r="A509" s="59">
        <v>9990259300</v>
      </c>
      <c r="B509" s="59"/>
      <c r="C509" s="60" t="s">
        <v>216</v>
      </c>
      <c r="D509" s="49">
        <f>D510+D512</f>
        <v>1319.4</v>
      </c>
      <c r="E509" s="49">
        <f>E510+E512</f>
        <v>1365.2</v>
      </c>
      <c r="F509" s="49">
        <f>F510+F512</f>
        <v>1419</v>
      </c>
    </row>
    <row r="510" spans="1:6" ht="63">
      <c r="A510" s="59">
        <v>9990259300</v>
      </c>
      <c r="B510" s="59" t="s">
        <v>74</v>
      </c>
      <c r="C510" s="60" t="s">
        <v>2</v>
      </c>
      <c r="D510" s="49">
        <f>D511</f>
        <v>1227.9</v>
      </c>
      <c r="E510" s="49">
        <f>E511</f>
        <v>1227.9</v>
      </c>
      <c r="F510" s="49">
        <f>F511</f>
        <v>1227.9</v>
      </c>
    </row>
    <row r="511" spans="1:6" ht="33.6" customHeight="1">
      <c r="A511" s="59">
        <v>9990259300</v>
      </c>
      <c r="B511" s="59">
        <v>120</v>
      </c>
      <c r="C511" s="199" t="s">
        <v>471</v>
      </c>
      <c r="D511" s="49">
        <f>'№5 '!E178</f>
        <v>1227.9</v>
      </c>
      <c r="E511" s="49">
        <f>'№5 '!F178</f>
        <v>1227.9</v>
      </c>
      <c r="F511" s="49">
        <f>'№5 '!G178</f>
        <v>1227.9</v>
      </c>
    </row>
    <row r="512" spans="1:6" ht="31.5">
      <c r="A512" s="59">
        <v>9990259300</v>
      </c>
      <c r="B512" s="59" t="s">
        <v>75</v>
      </c>
      <c r="C512" s="60" t="s">
        <v>110</v>
      </c>
      <c r="D512" s="49">
        <f>D513</f>
        <v>91.5</v>
      </c>
      <c r="E512" s="49">
        <f aca="true" t="shared" si="214" ref="E512:F512">E513</f>
        <v>137.3</v>
      </c>
      <c r="F512" s="49">
        <f t="shared" si="214"/>
        <v>191.1</v>
      </c>
    </row>
    <row r="513" spans="1:6" ht="33" customHeight="1">
      <c r="A513" s="59">
        <v>9990259300</v>
      </c>
      <c r="B513" s="59">
        <v>240</v>
      </c>
      <c r="C513" s="199" t="s">
        <v>469</v>
      </c>
      <c r="D513" s="49">
        <f>'№5 '!E180</f>
        <v>91.5</v>
      </c>
      <c r="E513" s="49">
        <f>'№5 '!F180</f>
        <v>137.3</v>
      </c>
      <c r="F513" s="49">
        <f>'№5 '!G180</f>
        <v>191.1</v>
      </c>
    </row>
    <row r="514" spans="1:6" ht="31.5">
      <c r="A514" s="59">
        <v>9990300000</v>
      </c>
      <c r="B514" s="59"/>
      <c r="C514" s="60" t="s">
        <v>214</v>
      </c>
      <c r="D514" s="49">
        <f>D515+D517+D519</f>
        <v>22732.6</v>
      </c>
      <c r="E514" s="49">
        <f aca="true" t="shared" si="215" ref="E514:F514">E515+E517+E519</f>
        <v>30166.8</v>
      </c>
      <c r="F514" s="49">
        <f t="shared" si="215"/>
        <v>30166.8</v>
      </c>
    </row>
    <row r="515" spans="1:6" ht="63">
      <c r="A515" s="59">
        <v>9990300000</v>
      </c>
      <c r="B515" s="59" t="s">
        <v>74</v>
      </c>
      <c r="C515" s="60" t="s">
        <v>2</v>
      </c>
      <c r="D515" s="49">
        <f>D516</f>
        <v>16849.8</v>
      </c>
      <c r="E515" s="49">
        <f aca="true" t="shared" si="216" ref="E515:F515">E516</f>
        <v>21699.9</v>
      </c>
      <c r="F515" s="49">
        <f t="shared" si="216"/>
        <v>21699.9</v>
      </c>
    </row>
    <row r="516" spans="1:6" ht="12.75">
      <c r="A516" s="59">
        <v>9990300000</v>
      </c>
      <c r="B516" s="59">
        <v>110</v>
      </c>
      <c r="C516" s="22" t="s">
        <v>215</v>
      </c>
      <c r="D516" s="49">
        <f>'№5 '!E163+'№5 '!E526</f>
        <v>16849.8</v>
      </c>
      <c r="E516" s="49">
        <f>'№5 '!F163+'№5 '!F526</f>
        <v>21699.9</v>
      </c>
      <c r="F516" s="49">
        <f>'№5 '!G163+'№5 '!G526</f>
        <v>21699.9</v>
      </c>
    </row>
    <row r="517" spans="1:6" ht="31.5">
      <c r="A517" s="59">
        <v>9990300000</v>
      </c>
      <c r="B517" s="59" t="s">
        <v>75</v>
      </c>
      <c r="C517" s="60" t="s">
        <v>110</v>
      </c>
      <c r="D517" s="49">
        <f>D518</f>
        <v>5488.199999999999</v>
      </c>
      <c r="E517" s="49">
        <f aca="true" t="shared" si="217" ref="E517:F517">E518</f>
        <v>7891.799999999999</v>
      </c>
      <c r="F517" s="49">
        <f t="shared" si="217"/>
        <v>7891.799999999999</v>
      </c>
    </row>
    <row r="518" spans="1:6" ht="31.15" customHeight="1">
      <c r="A518" s="59">
        <v>9990300000</v>
      </c>
      <c r="B518" s="59">
        <v>240</v>
      </c>
      <c r="C518" s="199" t="s">
        <v>469</v>
      </c>
      <c r="D518" s="49">
        <f>'№5 '!E528+'№5 '!E165</f>
        <v>5488.199999999999</v>
      </c>
      <c r="E518" s="49">
        <f>'№5 '!F528+'№5 '!F165</f>
        <v>7891.799999999999</v>
      </c>
      <c r="F518" s="49">
        <f>'№5 '!G528+'№5 '!G165</f>
        <v>7891.799999999999</v>
      </c>
    </row>
    <row r="519" spans="1:6" ht="12.75">
      <c r="A519" s="59">
        <v>9990300000</v>
      </c>
      <c r="B519" s="59" t="s">
        <v>76</v>
      </c>
      <c r="C519" s="60" t="s">
        <v>77</v>
      </c>
      <c r="D519" s="49">
        <f>D520</f>
        <v>394.6</v>
      </c>
      <c r="E519" s="49">
        <f aca="true" t="shared" si="218" ref="E519:F519">E520</f>
        <v>575.1</v>
      </c>
      <c r="F519" s="49">
        <f t="shared" si="218"/>
        <v>575.1</v>
      </c>
    </row>
    <row r="520" spans="1:6" ht="12.75">
      <c r="A520" s="59">
        <v>9990300000</v>
      </c>
      <c r="B520" s="59">
        <v>850</v>
      </c>
      <c r="C520" s="60" t="s">
        <v>126</v>
      </c>
      <c r="D520" s="49">
        <f>'№5 '!E167+'№5 '!E530</f>
        <v>394.6</v>
      </c>
      <c r="E520" s="49">
        <f>'№5 '!F167+'№5 '!F530</f>
        <v>575.1</v>
      </c>
      <c r="F520" s="49">
        <f>'№5 '!G167+'№5 '!G530</f>
        <v>575.1</v>
      </c>
    </row>
  </sheetData>
  <mergeCells count="8">
    <mergeCell ref="A1:F1"/>
    <mergeCell ref="A2:F2"/>
    <mergeCell ref="A3:A5"/>
    <mergeCell ref="B3:B5"/>
    <mergeCell ref="C3:C5"/>
    <mergeCell ref="D3:F3"/>
    <mergeCell ref="D4:D5"/>
    <mergeCell ref="E4:F4"/>
  </mergeCells>
  <printOptions/>
  <pageMargins left="0.7874015748031497" right="0.1968503937007874" top="0.3937007874015748" bottom="0.3937007874015748" header="0.31496062992125984" footer="0.31496062992125984"/>
  <pageSetup fitToHeight="0"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P26"/>
  <sheetViews>
    <sheetView zoomScale="85" zoomScaleNormal="85" zoomScaleSheetLayoutView="100" workbookViewId="0" topLeftCell="A10">
      <selection activeCell="M4" sqref="M4"/>
    </sheetView>
  </sheetViews>
  <sheetFormatPr defaultColWidth="9.125" defaultRowHeight="12.75"/>
  <cols>
    <col min="1" max="1" width="6.75390625" style="116" customWidth="1"/>
    <col min="2" max="2" width="33.625" style="117" customWidth="1"/>
    <col min="3" max="3" width="16.75390625" style="117" customWidth="1"/>
    <col min="4" max="4" width="13.00390625" style="118" customWidth="1"/>
    <col min="5" max="5" width="11.75390625" style="118" customWidth="1"/>
    <col min="6" max="6" width="14.25390625" style="118" customWidth="1"/>
    <col min="7" max="7" width="9.125" style="118" customWidth="1"/>
    <col min="8" max="8" width="10.625" style="118" customWidth="1"/>
    <col min="9" max="9" width="12.125" style="118" customWidth="1"/>
    <col min="10" max="10" width="14.25390625" style="118" customWidth="1"/>
    <col min="11" max="11" width="9.375" style="118" customWidth="1"/>
    <col min="12" max="12" width="11.00390625" style="118" customWidth="1"/>
    <col min="13" max="13" width="13.125" style="118" customWidth="1"/>
    <col min="14" max="14" width="13.75390625" style="118" customWidth="1"/>
    <col min="15" max="15" width="9.00390625" style="118" customWidth="1"/>
    <col min="16" max="16" width="14.875" style="118" customWidth="1"/>
    <col min="17" max="256" width="9.125" style="117" customWidth="1"/>
    <col min="257" max="257" width="5.625" style="117" customWidth="1"/>
    <col min="258" max="258" width="33.625" style="117" customWidth="1"/>
    <col min="259" max="259" width="15.625" style="117" customWidth="1"/>
    <col min="260" max="260" width="9.625" style="117" customWidth="1"/>
    <col min="261" max="261" width="11.75390625" style="117" customWidth="1"/>
    <col min="262" max="262" width="13.125" style="117" customWidth="1"/>
    <col min="263" max="263" width="9.125" style="117" customWidth="1"/>
    <col min="264" max="264" width="9.25390625" style="117" bestFit="1" customWidth="1"/>
    <col min="265" max="265" width="12.125" style="117" customWidth="1"/>
    <col min="266" max="266" width="12.75390625" style="117" customWidth="1"/>
    <col min="267" max="267" width="9.375" style="117" customWidth="1"/>
    <col min="268" max="268" width="9.25390625" style="117" bestFit="1" customWidth="1"/>
    <col min="269" max="269" width="13.125" style="117" customWidth="1"/>
    <col min="270" max="270" width="13.625" style="117" customWidth="1"/>
    <col min="271" max="271" width="9.625" style="117" customWidth="1"/>
    <col min="272" max="272" width="14.875" style="117" customWidth="1"/>
    <col min="273" max="512" width="9.125" style="117" customWidth="1"/>
    <col min="513" max="513" width="5.625" style="117" customWidth="1"/>
    <col min="514" max="514" width="33.625" style="117" customWidth="1"/>
    <col min="515" max="515" width="15.625" style="117" customWidth="1"/>
    <col min="516" max="516" width="9.625" style="117" customWidth="1"/>
    <col min="517" max="517" width="11.75390625" style="117" customWidth="1"/>
    <col min="518" max="518" width="13.125" style="117" customWidth="1"/>
    <col min="519" max="519" width="9.125" style="117" customWidth="1"/>
    <col min="520" max="520" width="9.25390625" style="117" bestFit="1" customWidth="1"/>
    <col min="521" max="521" width="12.125" style="117" customWidth="1"/>
    <col min="522" max="522" width="12.75390625" style="117" customWidth="1"/>
    <col min="523" max="523" width="9.375" style="117" customWidth="1"/>
    <col min="524" max="524" width="9.25390625" style="117" bestFit="1" customWidth="1"/>
    <col min="525" max="525" width="13.125" style="117" customWidth="1"/>
    <col min="526" max="526" width="13.625" style="117" customWidth="1"/>
    <col min="527" max="527" width="9.625" style="117" customWidth="1"/>
    <col min="528" max="528" width="14.875" style="117" customWidth="1"/>
    <col min="529" max="768" width="9.125" style="117" customWidth="1"/>
    <col min="769" max="769" width="5.625" style="117" customWidth="1"/>
    <col min="770" max="770" width="33.625" style="117" customWidth="1"/>
    <col min="771" max="771" width="15.625" style="117" customWidth="1"/>
    <col min="772" max="772" width="9.625" style="117" customWidth="1"/>
    <col min="773" max="773" width="11.75390625" style="117" customWidth="1"/>
    <col min="774" max="774" width="13.125" style="117" customWidth="1"/>
    <col min="775" max="775" width="9.125" style="117" customWidth="1"/>
    <col min="776" max="776" width="9.25390625" style="117" bestFit="1" customWidth="1"/>
    <col min="777" max="777" width="12.125" style="117" customWidth="1"/>
    <col min="778" max="778" width="12.75390625" style="117" customWidth="1"/>
    <col min="779" max="779" width="9.375" style="117" customWidth="1"/>
    <col min="780" max="780" width="9.25390625" style="117" bestFit="1" customWidth="1"/>
    <col min="781" max="781" width="13.125" style="117" customWidth="1"/>
    <col min="782" max="782" width="13.625" style="117" customWidth="1"/>
    <col min="783" max="783" width="9.625" style="117" customWidth="1"/>
    <col min="784" max="784" width="14.875" style="117" customWidth="1"/>
    <col min="785" max="1024" width="9.125" style="117" customWidth="1"/>
    <col min="1025" max="1025" width="5.625" style="117" customWidth="1"/>
    <col min="1026" max="1026" width="33.625" style="117" customWidth="1"/>
    <col min="1027" max="1027" width="15.625" style="117" customWidth="1"/>
    <col min="1028" max="1028" width="9.625" style="117" customWidth="1"/>
    <col min="1029" max="1029" width="11.75390625" style="117" customWidth="1"/>
    <col min="1030" max="1030" width="13.125" style="117" customWidth="1"/>
    <col min="1031" max="1031" width="9.125" style="117" customWidth="1"/>
    <col min="1032" max="1032" width="9.25390625" style="117" bestFit="1" customWidth="1"/>
    <col min="1033" max="1033" width="12.125" style="117" customWidth="1"/>
    <col min="1034" max="1034" width="12.75390625" style="117" customWidth="1"/>
    <col min="1035" max="1035" width="9.375" style="117" customWidth="1"/>
    <col min="1036" max="1036" width="9.25390625" style="117" bestFit="1" customWidth="1"/>
    <col min="1037" max="1037" width="13.125" style="117" customWidth="1"/>
    <col min="1038" max="1038" width="13.625" style="117" customWidth="1"/>
    <col min="1039" max="1039" width="9.625" style="117" customWidth="1"/>
    <col min="1040" max="1040" width="14.875" style="117" customWidth="1"/>
    <col min="1041" max="1280" width="9.125" style="117" customWidth="1"/>
    <col min="1281" max="1281" width="5.625" style="117" customWidth="1"/>
    <col min="1282" max="1282" width="33.625" style="117" customWidth="1"/>
    <col min="1283" max="1283" width="15.625" style="117" customWidth="1"/>
    <col min="1284" max="1284" width="9.625" style="117" customWidth="1"/>
    <col min="1285" max="1285" width="11.75390625" style="117" customWidth="1"/>
    <col min="1286" max="1286" width="13.125" style="117" customWidth="1"/>
    <col min="1287" max="1287" width="9.125" style="117" customWidth="1"/>
    <col min="1288" max="1288" width="9.25390625" style="117" bestFit="1" customWidth="1"/>
    <col min="1289" max="1289" width="12.125" style="117" customWidth="1"/>
    <col min="1290" max="1290" width="12.75390625" style="117" customWidth="1"/>
    <col min="1291" max="1291" width="9.375" style="117" customWidth="1"/>
    <col min="1292" max="1292" width="9.25390625" style="117" bestFit="1" customWidth="1"/>
    <col min="1293" max="1293" width="13.125" style="117" customWidth="1"/>
    <col min="1294" max="1294" width="13.625" style="117" customWidth="1"/>
    <col min="1295" max="1295" width="9.625" style="117" customWidth="1"/>
    <col min="1296" max="1296" width="14.875" style="117" customWidth="1"/>
    <col min="1297" max="1536" width="9.125" style="117" customWidth="1"/>
    <col min="1537" max="1537" width="5.625" style="117" customWidth="1"/>
    <col min="1538" max="1538" width="33.625" style="117" customWidth="1"/>
    <col min="1539" max="1539" width="15.625" style="117" customWidth="1"/>
    <col min="1540" max="1540" width="9.625" style="117" customWidth="1"/>
    <col min="1541" max="1541" width="11.75390625" style="117" customWidth="1"/>
    <col min="1542" max="1542" width="13.125" style="117" customWidth="1"/>
    <col min="1543" max="1543" width="9.125" style="117" customWidth="1"/>
    <col min="1544" max="1544" width="9.25390625" style="117" bestFit="1" customWidth="1"/>
    <col min="1545" max="1545" width="12.125" style="117" customWidth="1"/>
    <col min="1546" max="1546" width="12.75390625" style="117" customWidth="1"/>
    <col min="1547" max="1547" width="9.375" style="117" customWidth="1"/>
    <col min="1548" max="1548" width="9.25390625" style="117" bestFit="1" customWidth="1"/>
    <col min="1549" max="1549" width="13.125" style="117" customWidth="1"/>
    <col min="1550" max="1550" width="13.625" style="117" customWidth="1"/>
    <col min="1551" max="1551" width="9.625" style="117" customWidth="1"/>
    <col min="1552" max="1552" width="14.875" style="117" customWidth="1"/>
    <col min="1553" max="1792" width="9.125" style="117" customWidth="1"/>
    <col min="1793" max="1793" width="5.625" style="117" customWidth="1"/>
    <col min="1794" max="1794" width="33.625" style="117" customWidth="1"/>
    <col min="1795" max="1795" width="15.625" style="117" customWidth="1"/>
    <col min="1796" max="1796" width="9.625" style="117" customWidth="1"/>
    <col min="1797" max="1797" width="11.75390625" style="117" customWidth="1"/>
    <col min="1798" max="1798" width="13.125" style="117" customWidth="1"/>
    <col min="1799" max="1799" width="9.125" style="117" customWidth="1"/>
    <col min="1800" max="1800" width="9.25390625" style="117" bestFit="1" customWidth="1"/>
    <col min="1801" max="1801" width="12.125" style="117" customWidth="1"/>
    <col min="1802" max="1802" width="12.75390625" style="117" customWidth="1"/>
    <col min="1803" max="1803" width="9.375" style="117" customWidth="1"/>
    <col min="1804" max="1804" width="9.25390625" style="117" bestFit="1" customWidth="1"/>
    <col min="1805" max="1805" width="13.125" style="117" customWidth="1"/>
    <col min="1806" max="1806" width="13.625" style="117" customWidth="1"/>
    <col min="1807" max="1807" width="9.625" style="117" customWidth="1"/>
    <col min="1808" max="1808" width="14.875" style="117" customWidth="1"/>
    <col min="1809" max="2048" width="9.125" style="117" customWidth="1"/>
    <col min="2049" max="2049" width="5.625" style="117" customWidth="1"/>
    <col min="2050" max="2050" width="33.625" style="117" customWidth="1"/>
    <col min="2051" max="2051" width="15.625" style="117" customWidth="1"/>
    <col min="2052" max="2052" width="9.625" style="117" customWidth="1"/>
    <col min="2053" max="2053" width="11.75390625" style="117" customWidth="1"/>
    <col min="2054" max="2054" width="13.125" style="117" customWidth="1"/>
    <col min="2055" max="2055" width="9.125" style="117" customWidth="1"/>
    <col min="2056" max="2056" width="9.25390625" style="117" bestFit="1" customWidth="1"/>
    <col min="2057" max="2057" width="12.125" style="117" customWidth="1"/>
    <col min="2058" max="2058" width="12.75390625" style="117" customWidth="1"/>
    <col min="2059" max="2059" width="9.375" style="117" customWidth="1"/>
    <col min="2060" max="2060" width="9.25390625" style="117" bestFit="1" customWidth="1"/>
    <col min="2061" max="2061" width="13.125" style="117" customWidth="1"/>
    <col min="2062" max="2062" width="13.625" style="117" customWidth="1"/>
    <col min="2063" max="2063" width="9.625" style="117" customWidth="1"/>
    <col min="2064" max="2064" width="14.875" style="117" customWidth="1"/>
    <col min="2065" max="2304" width="9.125" style="117" customWidth="1"/>
    <col min="2305" max="2305" width="5.625" style="117" customWidth="1"/>
    <col min="2306" max="2306" width="33.625" style="117" customWidth="1"/>
    <col min="2307" max="2307" width="15.625" style="117" customWidth="1"/>
    <col min="2308" max="2308" width="9.625" style="117" customWidth="1"/>
    <col min="2309" max="2309" width="11.75390625" style="117" customWidth="1"/>
    <col min="2310" max="2310" width="13.125" style="117" customWidth="1"/>
    <col min="2311" max="2311" width="9.125" style="117" customWidth="1"/>
    <col min="2312" max="2312" width="9.25390625" style="117" bestFit="1" customWidth="1"/>
    <col min="2313" max="2313" width="12.125" style="117" customWidth="1"/>
    <col min="2314" max="2314" width="12.75390625" style="117" customWidth="1"/>
    <col min="2315" max="2315" width="9.375" style="117" customWidth="1"/>
    <col min="2316" max="2316" width="9.25390625" style="117" bestFit="1" customWidth="1"/>
    <col min="2317" max="2317" width="13.125" style="117" customWidth="1"/>
    <col min="2318" max="2318" width="13.625" style="117" customWidth="1"/>
    <col min="2319" max="2319" width="9.625" style="117" customWidth="1"/>
    <col min="2320" max="2320" width="14.875" style="117" customWidth="1"/>
    <col min="2321" max="2560" width="9.125" style="117" customWidth="1"/>
    <col min="2561" max="2561" width="5.625" style="117" customWidth="1"/>
    <col min="2562" max="2562" width="33.625" style="117" customWidth="1"/>
    <col min="2563" max="2563" width="15.625" style="117" customWidth="1"/>
    <col min="2564" max="2564" width="9.625" style="117" customWidth="1"/>
    <col min="2565" max="2565" width="11.75390625" style="117" customWidth="1"/>
    <col min="2566" max="2566" width="13.125" style="117" customWidth="1"/>
    <col min="2567" max="2567" width="9.125" style="117" customWidth="1"/>
    <col min="2568" max="2568" width="9.25390625" style="117" bestFit="1" customWidth="1"/>
    <col min="2569" max="2569" width="12.125" style="117" customWidth="1"/>
    <col min="2570" max="2570" width="12.75390625" style="117" customWidth="1"/>
    <col min="2571" max="2571" width="9.375" style="117" customWidth="1"/>
    <col min="2572" max="2572" width="9.25390625" style="117" bestFit="1" customWidth="1"/>
    <col min="2573" max="2573" width="13.125" style="117" customWidth="1"/>
    <col min="2574" max="2574" width="13.625" style="117" customWidth="1"/>
    <col min="2575" max="2575" width="9.625" style="117" customWidth="1"/>
    <col min="2576" max="2576" width="14.875" style="117" customWidth="1"/>
    <col min="2577" max="2816" width="9.125" style="117" customWidth="1"/>
    <col min="2817" max="2817" width="5.625" style="117" customWidth="1"/>
    <col min="2818" max="2818" width="33.625" style="117" customWidth="1"/>
    <col min="2819" max="2819" width="15.625" style="117" customWidth="1"/>
    <col min="2820" max="2820" width="9.625" style="117" customWidth="1"/>
    <col min="2821" max="2821" width="11.75390625" style="117" customWidth="1"/>
    <col min="2822" max="2822" width="13.125" style="117" customWidth="1"/>
    <col min="2823" max="2823" width="9.125" style="117" customWidth="1"/>
    <col min="2824" max="2824" width="9.25390625" style="117" bestFit="1" customWidth="1"/>
    <col min="2825" max="2825" width="12.125" style="117" customWidth="1"/>
    <col min="2826" max="2826" width="12.75390625" style="117" customWidth="1"/>
    <col min="2827" max="2827" width="9.375" style="117" customWidth="1"/>
    <col min="2828" max="2828" width="9.25390625" style="117" bestFit="1" customWidth="1"/>
    <col min="2829" max="2829" width="13.125" style="117" customWidth="1"/>
    <col min="2830" max="2830" width="13.625" style="117" customWidth="1"/>
    <col min="2831" max="2831" width="9.625" style="117" customWidth="1"/>
    <col min="2832" max="2832" width="14.875" style="117" customWidth="1"/>
    <col min="2833" max="3072" width="9.125" style="117" customWidth="1"/>
    <col min="3073" max="3073" width="5.625" style="117" customWidth="1"/>
    <col min="3074" max="3074" width="33.625" style="117" customWidth="1"/>
    <col min="3075" max="3075" width="15.625" style="117" customWidth="1"/>
    <col min="3076" max="3076" width="9.625" style="117" customWidth="1"/>
    <col min="3077" max="3077" width="11.75390625" style="117" customWidth="1"/>
    <col min="3078" max="3078" width="13.125" style="117" customWidth="1"/>
    <col min="3079" max="3079" width="9.125" style="117" customWidth="1"/>
    <col min="3080" max="3080" width="9.25390625" style="117" bestFit="1" customWidth="1"/>
    <col min="3081" max="3081" width="12.125" style="117" customWidth="1"/>
    <col min="3082" max="3082" width="12.75390625" style="117" customWidth="1"/>
    <col min="3083" max="3083" width="9.375" style="117" customWidth="1"/>
    <col min="3084" max="3084" width="9.25390625" style="117" bestFit="1" customWidth="1"/>
    <col min="3085" max="3085" width="13.125" style="117" customWidth="1"/>
    <col min="3086" max="3086" width="13.625" style="117" customWidth="1"/>
    <col min="3087" max="3087" width="9.625" style="117" customWidth="1"/>
    <col min="3088" max="3088" width="14.875" style="117" customWidth="1"/>
    <col min="3089" max="3328" width="9.125" style="117" customWidth="1"/>
    <col min="3329" max="3329" width="5.625" style="117" customWidth="1"/>
    <col min="3330" max="3330" width="33.625" style="117" customWidth="1"/>
    <col min="3331" max="3331" width="15.625" style="117" customWidth="1"/>
    <col min="3332" max="3332" width="9.625" style="117" customWidth="1"/>
    <col min="3333" max="3333" width="11.75390625" style="117" customWidth="1"/>
    <col min="3334" max="3334" width="13.125" style="117" customWidth="1"/>
    <col min="3335" max="3335" width="9.125" style="117" customWidth="1"/>
    <col min="3336" max="3336" width="9.25390625" style="117" bestFit="1" customWidth="1"/>
    <col min="3337" max="3337" width="12.125" style="117" customWidth="1"/>
    <col min="3338" max="3338" width="12.75390625" style="117" customWidth="1"/>
    <col min="3339" max="3339" width="9.375" style="117" customWidth="1"/>
    <col min="3340" max="3340" width="9.25390625" style="117" bestFit="1" customWidth="1"/>
    <col min="3341" max="3341" width="13.125" style="117" customWidth="1"/>
    <col min="3342" max="3342" width="13.625" style="117" customWidth="1"/>
    <col min="3343" max="3343" width="9.625" style="117" customWidth="1"/>
    <col min="3344" max="3344" width="14.875" style="117" customWidth="1"/>
    <col min="3345" max="3584" width="9.125" style="117" customWidth="1"/>
    <col min="3585" max="3585" width="5.625" style="117" customWidth="1"/>
    <col min="3586" max="3586" width="33.625" style="117" customWidth="1"/>
    <col min="3587" max="3587" width="15.625" style="117" customWidth="1"/>
    <col min="3588" max="3588" width="9.625" style="117" customWidth="1"/>
    <col min="3589" max="3589" width="11.75390625" style="117" customWidth="1"/>
    <col min="3590" max="3590" width="13.125" style="117" customWidth="1"/>
    <col min="3591" max="3591" width="9.125" style="117" customWidth="1"/>
    <col min="3592" max="3592" width="9.25390625" style="117" bestFit="1" customWidth="1"/>
    <col min="3593" max="3593" width="12.125" style="117" customWidth="1"/>
    <col min="3594" max="3594" width="12.75390625" style="117" customWidth="1"/>
    <col min="3595" max="3595" width="9.375" style="117" customWidth="1"/>
    <col min="3596" max="3596" width="9.25390625" style="117" bestFit="1" customWidth="1"/>
    <col min="3597" max="3597" width="13.125" style="117" customWidth="1"/>
    <col min="3598" max="3598" width="13.625" style="117" customWidth="1"/>
    <col min="3599" max="3599" width="9.625" style="117" customWidth="1"/>
    <col min="3600" max="3600" width="14.875" style="117" customWidth="1"/>
    <col min="3601" max="3840" width="9.125" style="117" customWidth="1"/>
    <col min="3841" max="3841" width="5.625" style="117" customWidth="1"/>
    <col min="3842" max="3842" width="33.625" style="117" customWidth="1"/>
    <col min="3843" max="3843" width="15.625" style="117" customWidth="1"/>
    <col min="3844" max="3844" width="9.625" style="117" customWidth="1"/>
    <col min="3845" max="3845" width="11.75390625" style="117" customWidth="1"/>
    <col min="3846" max="3846" width="13.125" style="117" customWidth="1"/>
    <col min="3847" max="3847" width="9.125" style="117" customWidth="1"/>
    <col min="3848" max="3848" width="9.25390625" style="117" bestFit="1" customWidth="1"/>
    <col min="3849" max="3849" width="12.125" style="117" customWidth="1"/>
    <col min="3850" max="3850" width="12.75390625" style="117" customWidth="1"/>
    <col min="3851" max="3851" width="9.375" style="117" customWidth="1"/>
    <col min="3852" max="3852" width="9.25390625" style="117" bestFit="1" customWidth="1"/>
    <col min="3853" max="3853" width="13.125" style="117" customWidth="1"/>
    <col min="3854" max="3854" width="13.625" style="117" customWidth="1"/>
    <col min="3855" max="3855" width="9.625" style="117" customWidth="1"/>
    <col min="3856" max="3856" width="14.875" style="117" customWidth="1"/>
    <col min="3857" max="4096" width="9.125" style="117" customWidth="1"/>
    <col min="4097" max="4097" width="5.625" style="117" customWidth="1"/>
    <col min="4098" max="4098" width="33.625" style="117" customWidth="1"/>
    <col min="4099" max="4099" width="15.625" style="117" customWidth="1"/>
    <col min="4100" max="4100" width="9.625" style="117" customWidth="1"/>
    <col min="4101" max="4101" width="11.75390625" style="117" customWidth="1"/>
    <col min="4102" max="4102" width="13.125" style="117" customWidth="1"/>
    <col min="4103" max="4103" width="9.125" style="117" customWidth="1"/>
    <col min="4104" max="4104" width="9.25390625" style="117" bestFit="1" customWidth="1"/>
    <col min="4105" max="4105" width="12.125" style="117" customWidth="1"/>
    <col min="4106" max="4106" width="12.75390625" style="117" customWidth="1"/>
    <col min="4107" max="4107" width="9.375" style="117" customWidth="1"/>
    <col min="4108" max="4108" width="9.25390625" style="117" bestFit="1" customWidth="1"/>
    <col min="4109" max="4109" width="13.125" style="117" customWidth="1"/>
    <col min="4110" max="4110" width="13.625" style="117" customWidth="1"/>
    <col min="4111" max="4111" width="9.625" style="117" customWidth="1"/>
    <col min="4112" max="4112" width="14.875" style="117" customWidth="1"/>
    <col min="4113" max="4352" width="9.125" style="117" customWidth="1"/>
    <col min="4353" max="4353" width="5.625" style="117" customWidth="1"/>
    <col min="4354" max="4354" width="33.625" style="117" customWidth="1"/>
    <col min="4355" max="4355" width="15.625" style="117" customWidth="1"/>
    <col min="4356" max="4356" width="9.625" style="117" customWidth="1"/>
    <col min="4357" max="4357" width="11.75390625" style="117" customWidth="1"/>
    <col min="4358" max="4358" width="13.125" style="117" customWidth="1"/>
    <col min="4359" max="4359" width="9.125" style="117" customWidth="1"/>
    <col min="4360" max="4360" width="9.25390625" style="117" bestFit="1" customWidth="1"/>
    <col min="4361" max="4361" width="12.125" style="117" customWidth="1"/>
    <col min="4362" max="4362" width="12.75390625" style="117" customWidth="1"/>
    <col min="4363" max="4363" width="9.375" style="117" customWidth="1"/>
    <col min="4364" max="4364" width="9.25390625" style="117" bestFit="1" customWidth="1"/>
    <col min="4365" max="4365" width="13.125" style="117" customWidth="1"/>
    <col min="4366" max="4366" width="13.625" style="117" customWidth="1"/>
    <col min="4367" max="4367" width="9.625" style="117" customWidth="1"/>
    <col min="4368" max="4368" width="14.875" style="117" customWidth="1"/>
    <col min="4369" max="4608" width="9.125" style="117" customWidth="1"/>
    <col min="4609" max="4609" width="5.625" style="117" customWidth="1"/>
    <col min="4610" max="4610" width="33.625" style="117" customWidth="1"/>
    <col min="4611" max="4611" width="15.625" style="117" customWidth="1"/>
    <col min="4612" max="4612" width="9.625" style="117" customWidth="1"/>
    <col min="4613" max="4613" width="11.75390625" style="117" customWidth="1"/>
    <col min="4614" max="4614" width="13.125" style="117" customWidth="1"/>
    <col min="4615" max="4615" width="9.125" style="117" customWidth="1"/>
    <col min="4616" max="4616" width="9.25390625" style="117" bestFit="1" customWidth="1"/>
    <col min="4617" max="4617" width="12.125" style="117" customWidth="1"/>
    <col min="4618" max="4618" width="12.75390625" style="117" customWidth="1"/>
    <col min="4619" max="4619" width="9.375" style="117" customWidth="1"/>
    <col min="4620" max="4620" width="9.25390625" style="117" bestFit="1" customWidth="1"/>
    <col min="4621" max="4621" width="13.125" style="117" customWidth="1"/>
    <col min="4622" max="4622" width="13.625" style="117" customWidth="1"/>
    <col min="4623" max="4623" width="9.625" style="117" customWidth="1"/>
    <col min="4624" max="4624" width="14.875" style="117" customWidth="1"/>
    <col min="4625" max="4864" width="9.125" style="117" customWidth="1"/>
    <col min="4865" max="4865" width="5.625" style="117" customWidth="1"/>
    <col min="4866" max="4866" width="33.625" style="117" customWidth="1"/>
    <col min="4867" max="4867" width="15.625" style="117" customWidth="1"/>
    <col min="4868" max="4868" width="9.625" style="117" customWidth="1"/>
    <col min="4869" max="4869" width="11.75390625" style="117" customWidth="1"/>
    <col min="4870" max="4870" width="13.125" style="117" customWidth="1"/>
    <col min="4871" max="4871" width="9.125" style="117" customWidth="1"/>
    <col min="4872" max="4872" width="9.25390625" style="117" bestFit="1" customWidth="1"/>
    <col min="4873" max="4873" width="12.125" style="117" customWidth="1"/>
    <col min="4874" max="4874" width="12.75390625" style="117" customWidth="1"/>
    <col min="4875" max="4875" width="9.375" style="117" customWidth="1"/>
    <col min="4876" max="4876" width="9.25390625" style="117" bestFit="1" customWidth="1"/>
    <col min="4877" max="4877" width="13.125" style="117" customWidth="1"/>
    <col min="4878" max="4878" width="13.625" style="117" customWidth="1"/>
    <col min="4879" max="4879" width="9.625" style="117" customWidth="1"/>
    <col min="4880" max="4880" width="14.875" style="117" customWidth="1"/>
    <col min="4881" max="5120" width="9.125" style="117" customWidth="1"/>
    <col min="5121" max="5121" width="5.625" style="117" customWidth="1"/>
    <col min="5122" max="5122" width="33.625" style="117" customWidth="1"/>
    <col min="5123" max="5123" width="15.625" style="117" customWidth="1"/>
    <col min="5124" max="5124" width="9.625" style="117" customWidth="1"/>
    <col min="5125" max="5125" width="11.75390625" style="117" customWidth="1"/>
    <col min="5126" max="5126" width="13.125" style="117" customWidth="1"/>
    <col min="5127" max="5127" width="9.125" style="117" customWidth="1"/>
    <col min="5128" max="5128" width="9.25390625" style="117" bestFit="1" customWidth="1"/>
    <col min="5129" max="5129" width="12.125" style="117" customWidth="1"/>
    <col min="5130" max="5130" width="12.75390625" style="117" customWidth="1"/>
    <col min="5131" max="5131" width="9.375" style="117" customWidth="1"/>
    <col min="5132" max="5132" width="9.25390625" style="117" bestFit="1" customWidth="1"/>
    <col min="5133" max="5133" width="13.125" style="117" customWidth="1"/>
    <col min="5134" max="5134" width="13.625" style="117" customWidth="1"/>
    <col min="5135" max="5135" width="9.625" style="117" customWidth="1"/>
    <col min="5136" max="5136" width="14.875" style="117" customWidth="1"/>
    <col min="5137" max="5376" width="9.125" style="117" customWidth="1"/>
    <col min="5377" max="5377" width="5.625" style="117" customWidth="1"/>
    <col min="5378" max="5378" width="33.625" style="117" customWidth="1"/>
    <col min="5379" max="5379" width="15.625" style="117" customWidth="1"/>
    <col min="5380" max="5380" width="9.625" style="117" customWidth="1"/>
    <col min="5381" max="5381" width="11.75390625" style="117" customWidth="1"/>
    <col min="5382" max="5382" width="13.125" style="117" customWidth="1"/>
    <col min="5383" max="5383" width="9.125" style="117" customWidth="1"/>
    <col min="5384" max="5384" width="9.25390625" style="117" bestFit="1" customWidth="1"/>
    <col min="5385" max="5385" width="12.125" style="117" customWidth="1"/>
    <col min="5386" max="5386" width="12.75390625" style="117" customWidth="1"/>
    <col min="5387" max="5387" width="9.375" style="117" customWidth="1"/>
    <col min="5388" max="5388" width="9.25390625" style="117" bestFit="1" customWidth="1"/>
    <col min="5389" max="5389" width="13.125" style="117" customWidth="1"/>
    <col min="5390" max="5390" width="13.625" style="117" customWidth="1"/>
    <col min="5391" max="5391" width="9.625" style="117" customWidth="1"/>
    <col min="5392" max="5392" width="14.875" style="117" customWidth="1"/>
    <col min="5393" max="5632" width="9.125" style="117" customWidth="1"/>
    <col min="5633" max="5633" width="5.625" style="117" customWidth="1"/>
    <col min="5634" max="5634" width="33.625" style="117" customWidth="1"/>
    <col min="5635" max="5635" width="15.625" style="117" customWidth="1"/>
    <col min="5636" max="5636" width="9.625" style="117" customWidth="1"/>
    <col min="5637" max="5637" width="11.75390625" style="117" customWidth="1"/>
    <col min="5638" max="5638" width="13.125" style="117" customWidth="1"/>
    <col min="5639" max="5639" width="9.125" style="117" customWidth="1"/>
    <col min="5640" max="5640" width="9.25390625" style="117" bestFit="1" customWidth="1"/>
    <col min="5641" max="5641" width="12.125" style="117" customWidth="1"/>
    <col min="5642" max="5642" width="12.75390625" style="117" customWidth="1"/>
    <col min="5643" max="5643" width="9.375" style="117" customWidth="1"/>
    <col min="5644" max="5644" width="9.25390625" style="117" bestFit="1" customWidth="1"/>
    <col min="5645" max="5645" width="13.125" style="117" customWidth="1"/>
    <col min="5646" max="5646" width="13.625" style="117" customWidth="1"/>
    <col min="5647" max="5647" width="9.625" style="117" customWidth="1"/>
    <col min="5648" max="5648" width="14.875" style="117" customWidth="1"/>
    <col min="5649" max="5888" width="9.125" style="117" customWidth="1"/>
    <col min="5889" max="5889" width="5.625" style="117" customWidth="1"/>
    <col min="5890" max="5890" width="33.625" style="117" customWidth="1"/>
    <col min="5891" max="5891" width="15.625" style="117" customWidth="1"/>
    <col min="5892" max="5892" width="9.625" style="117" customWidth="1"/>
    <col min="5893" max="5893" width="11.75390625" style="117" customWidth="1"/>
    <col min="5894" max="5894" width="13.125" style="117" customWidth="1"/>
    <col min="5895" max="5895" width="9.125" style="117" customWidth="1"/>
    <col min="5896" max="5896" width="9.25390625" style="117" bestFit="1" customWidth="1"/>
    <col min="5897" max="5897" width="12.125" style="117" customWidth="1"/>
    <col min="5898" max="5898" width="12.75390625" style="117" customWidth="1"/>
    <col min="5899" max="5899" width="9.375" style="117" customWidth="1"/>
    <col min="5900" max="5900" width="9.25390625" style="117" bestFit="1" customWidth="1"/>
    <col min="5901" max="5901" width="13.125" style="117" customWidth="1"/>
    <col min="5902" max="5902" width="13.625" style="117" customWidth="1"/>
    <col min="5903" max="5903" width="9.625" style="117" customWidth="1"/>
    <col min="5904" max="5904" width="14.875" style="117" customWidth="1"/>
    <col min="5905" max="6144" width="9.125" style="117" customWidth="1"/>
    <col min="6145" max="6145" width="5.625" style="117" customWidth="1"/>
    <col min="6146" max="6146" width="33.625" style="117" customWidth="1"/>
    <col min="6147" max="6147" width="15.625" style="117" customWidth="1"/>
    <col min="6148" max="6148" width="9.625" style="117" customWidth="1"/>
    <col min="6149" max="6149" width="11.75390625" style="117" customWidth="1"/>
    <col min="6150" max="6150" width="13.125" style="117" customWidth="1"/>
    <col min="6151" max="6151" width="9.125" style="117" customWidth="1"/>
    <col min="6152" max="6152" width="9.25390625" style="117" bestFit="1" customWidth="1"/>
    <col min="6153" max="6153" width="12.125" style="117" customWidth="1"/>
    <col min="6154" max="6154" width="12.75390625" style="117" customWidth="1"/>
    <col min="6155" max="6155" width="9.375" style="117" customWidth="1"/>
    <col min="6156" max="6156" width="9.25390625" style="117" bestFit="1" customWidth="1"/>
    <col min="6157" max="6157" width="13.125" style="117" customWidth="1"/>
    <col min="6158" max="6158" width="13.625" style="117" customWidth="1"/>
    <col min="6159" max="6159" width="9.625" style="117" customWidth="1"/>
    <col min="6160" max="6160" width="14.875" style="117" customWidth="1"/>
    <col min="6161" max="6400" width="9.125" style="117" customWidth="1"/>
    <col min="6401" max="6401" width="5.625" style="117" customWidth="1"/>
    <col min="6402" max="6402" width="33.625" style="117" customWidth="1"/>
    <col min="6403" max="6403" width="15.625" style="117" customWidth="1"/>
    <col min="6404" max="6404" width="9.625" style="117" customWidth="1"/>
    <col min="6405" max="6405" width="11.75390625" style="117" customWidth="1"/>
    <col min="6406" max="6406" width="13.125" style="117" customWidth="1"/>
    <col min="6407" max="6407" width="9.125" style="117" customWidth="1"/>
    <col min="6408" max="6408" width="9.25390625" style="117" bestFit="1" customWidth="1"/>
    <col min="6409" max="6409" width="12.125" style="117" customWidth="1"/>
    <col min="6410" max="6410" width="12.75390625" style="117" customWidth="1"/>
    <col min="6411" max="6411" width="9.375" style="117" customWidth="1"/>
    <col min="6412" max="6412" width="9.25390625" style="117" bestFit="1" customWidth="1"/>
    <col min="6413" max="6413" width="13.125" style="117" customWidth="1"/>
    <col min="6414" max="6414" width="13.625" style="117" customWidth="1"/>
    <col min="6415" max="6415" width="9.625" style="117" customWidth="1"/>
    <col min="6416" max="6416" width="14.875" style="117" customWidth="1"/>
    <col min="6417" max="6656" width="9.125" style="117" customWidth="1"/>
    <col min="6657" max="6657" width="5.625" style="117" customWidth="1"/>
    <col min="6658" max="6658" width="33.625" style="117" customWidth="1"/>
    <col min="6659" max="6659" width="15.625" style="117" customWidth="1"/>
    <col min="6660" max="6660" width="9.625" style="117" customWidth="1"/>
    <col min="6661" max="6661" width="11.75390625" style="117" customWidth="1"/>
    <col min="6662" max="6662" width="13.125" style="117" customWidth="1"/>
    <col min="6663" max="6663" width="9.125" style="117" customWidth="1"/>
    <col min="6664" max="6664" width="9.25390625" style="117" bestFit="1" customWidth="1"/>
    <col min="6665" max="6665" width="12.125" style="117" customWidth="1"/>
    <col min="6666" max="6666" width="12.75390625" style="117" customWidth="1"/>
    <col min="6667" max="6667" width="9.375" style="117" customWidth="1"/>
    <col min="6668" max="6668" width="9.25390625" style="117" bestFit="1" customWidth="1"/>
    <col min="6669" max="6669" width="13.125" style="117" customWidth="1"/>
    <col min="6670" max="6670" width="13.625" style="117" customWidth="1"/>
    <col min="6671" max="6671" width="9.625" style="117" customWidth="1"/>
    <col min="6672" max="6672" width="14.875" style="117" customWidth="1"/>
    <col min="6673" max="6912" width="9.125" style="117" customWidth="1"/>
    <col min="6913" max="6913" width="5.625" style="117" customWidth="1"/>
    <col min="6914" max="6914" width="33.625" style="117" customWidth="1"/>
    <col min="6915" max="6915" width="15.625" style="117" customWidth="1"/>
    <col min="6916" max="6916" width="9.625" style="117" customWidth="1"/>
    <col min="6917" max="6917" width="11.75390625" style="117" customWidth="1"/>
    <col min="6918" max="6918" width="13.125" style="117" customWidth="1"/>
    <col min="6919" max="6919" width="9.125" style="117" customWidth="1"/>
    <col min="6920" max="6920" width="9.25390625" style="117" bestFit="1" customWidth="1"/>
    <col min="6921" max="6921" width="12.125" style="117" customWidth="1"/>
    <col min="6922" max="6922" width="12.75390625" style="117" customWidth="1"/>
    <col min="6923" max="6923" width="9.375" style="117" customWidth="1"/>
    <col min="6924" max="6924" width="9.25390625" style="117" bestFit="1" customWidth="1"/>
    <col min="6925" max="6925" width="13.125" style="117" customWidth="1"/>
    <col min="6926" max="6926" width="13.625" style="117" customWidth="1"/>
    <col min="6927" max="6927" width="9.625" style="117" customWidth="1"/>
    <col min="6928" max="6928" width="14.875" style="117" customWidth="1"/>
    <col min="6929" max="7168" width="9.125" style="117" customWidth="1"/>
    <col min="7169" max="7169" width="5.625" style="117" customWidth="1"/>
    <col min="7170" max="7170" width="33.625" style="117" customWidth="1"/>
    <col min="7171" max="7171" width="15.625" style="117" customWidth="1"/>
    <col min="7172" max="7172" width="9.625" style="117" customWidth="1"/>
    <col min="7173" max="7173" width="11.75390625" style="117" customWidth="1"/>
    <col min="7174" max="7174" width="13.125" style="117" customWidth="1"/>
    <col min="7175" max="7175" width="9.125" style="117" customWidth="1"/>
    <col min="7176" max="7176" width="9.25390625" style="117" bestFit="1" customWidth="1"/>
    <col min="7177" max="7177" width="12.125" style="117" customWidth="1"/>
    <col min="7178" max="7178" width="12.75390625" style="117" customWidth="1"/>
    <col min="7179" max="7179" width="9.375" style="117" customWidth="1"/>
    <col min="7180" max="7180" width="9.25390625" style="117" bestFit="1" customWidth="1"/>
    <col min="7181" max="7181" width="13.125" style="117" customWidth="1"/>
    <col min="7182" max="7182" width="13.625" style="117" customWidth="1"/>
    <col min="7183" max="7183" width="9.625" style="117" customWidth="1"/>
    <col min="7184" max="7184" width="14.875" style="117" customWidth="1"/>
    <col min="7185" max="7424" width="9.125" style="117" customWidth="1"/>
    <col min="7425" max="7425" width="5.625" style="117" customWidth="1"/>
    <col min="7426" max="7426" width="33.625" style="117" customWidth="1"/>
    <col min="7427" max="7427" width="15.625" style="117" customWidth="1"/>
    <col min="7428" max="7428" width="9.625" style="117" customWidth="1"/>
    <col min="7429" max="7429" width="11.75390625" style="117" customWidth="1"/>
    <col min="7430" max="7430" width="13.125" style="117" customWidth="1"/>
    <col min="7431" max="7431" width="9.125" style="117" customWidth="1"/>
    <col min="7432" max="7432" width="9.25390625" style="117" bestFit="1" customWidth="1"/>
    <col min="7433" max="7433" width="12.125" style="117" customWidth="1"/>
    <col min="7434" max="7434" width="12.75390625" style="117" customWidth="1"/>
    <col min="7435" max="7435" width="9.375" style="117" customWidth="1"/>
    <col min="7436" max="7436" width="9.25390625" style="117" bestFit="1" customWidth="1"/>
    <col min="7437" max="7437" width="13.125" style="117" customWidth="1"/>
    <col min="7438" max="7438" width="13.625" style="117" customWidth="1"/>
    <col min="7439" max="7439" width="9.625" style="117" customWidth="1"/>
    <col min="7440" max="7440" width="14.875" style="117" customWidth="1"/>
    <col min="7441" max="7680" width="9.125" style="117" customWidth="1"/>
    <col min="7681" max="7681" width="5.625" style="117" customWidth="1"/>
    <col min="7682" max="7682" width="33.625" style="117" customWidth="1"/>
    <col min="7683" max="7683" width="15.625" style="117" customWidth="1"/>
    <col min="7684" max="7684" width="9.625" style="117" customWidth="1"/>
    <col min="7685" max="7685" width="11.75390625" style="117" customWidth="1"/>
    <col min="7686" max="7686" width="13.125" style="117" customWidth="1"/>
    <col min="7687" max="7687" width="9.125" style="117" customWidth="1"/>
    <col min="7688" max="7688" width="9.25390625" style="117" bestFit="1" customWidth="1"/>
    <col min="7689" max="7689" width="12.125" style="117" customWidth="1"/>
    <col min="7690" max="7690" width="12.75390625" style="117" customWidth="1"/>
    <col min="7691" max="7691" width="9.375" style="117" customWidth="1"/>
    <col min="7692" max="7692" width="9.25390625" style="117" bestFit="1" customWidth="1"/>
    <col min="7693" max="7693" width="13.125" style="117" customWidth="1"/>
    <col min="7694" max="7694" width="13.625" style="117" customWidth="1"/>
    <col min="7695" max="7695" width="9.625" style="117" customWidth="1"/>
    <col min="7696" max="7696" width="14.875" style="117" customWidth="1"/>
    <col min="7697" max="7936" width="9.125" style="117" customWidth="1"/>
    <col min="7937" max="7937" width="5.625" style="117" customWidth="1"/>
    <col min="7938" max="7938" width="33.625" style="117" customWidth="1"/>
    <col min="7939" max="7939" width="15.625" style="117" customWidth="1"/>
    <col min="7940" max="7940" width="9.625" style="117" customWidth="1"/>
    <col min="7941" max="7941" width="11.75390625" style="117" customWidth="1"/>
    <col min="7942" max="7942" width="13.125" style="117" customWidth="1"/>
    <col min="7943" max="7943" width="9.125" style="117" customWidth="1"/>
    <col min="7944" max="7944" width="9.25390625" style="117" bestFit="1" customWidth="1"/>
    <col min="7945" max="7945" width="12.125" style="117" customWidth="1"/>
    <col min="7946" max="7946" width="12.75390625" style="117" customWidth="1"/>
    <col min="7947" max="7947" width="9.375" style="117" customWidth="1"/>
    <col min="7948" max="7948" width="9.25390625" style="117" bestFit="1" customWidth="1"/>
    <col min="7949" max="7949" width="13.125" style="117" customWidth="1"/>
    <col min="7950" max="7950" width="13.625" style="117" customWidth="1"/>
    <col min="7951" max="7951" width="9.625" style="117" customWidth="1"/>
    <col min="7952" max="7952" width="14.875" style="117" customWidth="1"/>
    <col min="7953" max="8192" width="9.125" style="117" customWidth="1"/>
    <col min="8193" max="8193" width="5.625" style="117" customWidth="1"/>
    <col min="8194" max="8194" width="33.625" style="117" customWidth="1"/>
    <col min="8195" max="8195" width="15.625" style="117" customWidth="1"/>
    <col min="8196" max="8196" width="9.625" style="117" customWidth="1"/>
    <col min="8197" max="8197" width="11.75390625" style="117" customWidth="1"/>
    <col min="8198" max="8198" width="13.125" style="117" customWidth="1"/>
    <col min="8199" max="8199" width="9.125" style="117" customWidth="1"/>
    <col min="8200" max="8200" width="9.25390625" style="117" bestFit="1" customWidth="1"/>
    <col min="8201" max="8201" width="12.125" style="117" customWidth="1"/>
    <col min="8202" max="8202" width="12.75390625" style="117" customWidth="1"/>
    <col min="8203" max="8203" width="9.375" style="117" customWidth="1"/>
    <col min="8204" max="8204" width="9.25390625" style="117" bestFit="1" customWidth="1"/>
    <col min="8205" max="8205" width="13.125" style="117" customWidth="1"/>
    <col min="8206" max="8206" width="13.625" style="117" customWidth="1"/>
    <col min="8207" max="8207" width="9.625" style="117" customWidth="1"/>
    <col min="8208" max="8208" width="14.875" style="117" customWidth="1"/>
    <col min="8209" max="8448" width="9.125" style="117" customWidth="1"/>
    <col min="8449" max="8449" width="5.625" style="117" customWidth="1"/>
    <col min="8450" max="8450" width="33.625" style="117" customWidth="1"/>
    <col min="8451" max="8451" width="15.625" style="117" customWidth="1"/>
    <col min="8452" max="8452" width="9.625" style="117" customWidth="1"/>
    <col min="8453" max="8453" width="11.75390625" style="117" customWidth="1"/>
    <col min="8454" max="8454" width="13.125" style="117" customWidth="1"/>
    <col min="8455" max="8455" width="9.125" style="117" customWidth="1"/>
    <col min="8456" max="8456" width="9.25390625" style="117" bestFit="1" customWidth="1"/>
    <col min="8457" max="8457" width="12.125" style="117" customWidth="1"/>
    <col min="8458" max="8458" width="12.75390625" style="117" customWidth="1"/>
    <col min="8459" max="8459" width="9.375" style="117" customWidth="1"/>
    <col min="8460" max="8460" width="9.25390625" style="117" bestFit="1" customWidth="1"/>
    <col min="8461" max="8461" width="13.125" style="117" customWidth="1"/>
    <col min="8462" max="8462" width="13.625" style="117" customWidth="1"/>
    <col min="8463" max="8463" width="9.625" style="117" customWidth="1"/>
    <col min="8464" max="8464" width="14.875" style="117" customWidth="1"/>
    <col min="8465" max="8704" width="9.125" style="117" customWidth="1"/>
    <col min="8705" max="8705" width="5.625" style="117" customWidth="1"/>
    <col min="8706" max="8706" width="33.625" style="117" customWidth="1"/>
    <col min="8707" max="8707" width="15.625" style="117" customWidth="1"/>
    <col min="8708" max="8708" width="9.625" style="117" customWidth="1"/>
    <col min="8709" max="8709" width="11.75390625" style="117" customWidth="1"/>
    <col min="8710" max="8710" width="13.125" style="117" customWidth="1"/>
    <col min="8711" max="8711" width="9.125" style="117" customWidth="1"/>
    <col min="8712" max="8712" width="9.25390625" style="117" bestFit="1" customWidth="1"/>
    <col min="8713" max="8713" width="12.125" style="117" customWidth="1"/>
    <col min="8714" max="8714" width="12.75390625" style="117" customWidth="1"/>
    <col min="8715" max="8715" width="9.375" style="117" customWidth="1"/>
    <col min="8716" max="8716" width="9.25390625" style="117" bestFit="1" customWidth="1"/>
    <col min="8717" max="8717" width="13.125" style="117" customWidth="1"/>
    <col min="8718" max="8718" width="13.625" style="117" customWidth="1"/>
    <col min="8719" max="8719" width="9.625" style="117" customWidth="1"/>
    <col min="8720" max="8720" width="14.875" style="117" customWidth="1"/>
    <col min="8721" max="8960" width="9.125" style="117" customWidth="1"/>
    <col min="8961" max="8961" width="5.625" style="117" customWidth="1"/>
    <col min="8962" max="8962" width="33.625" style="117" customWidth="1"/>
    <col min="8963" max="8963" width="15.625" style="117" customWidth="1"/>
    <col min="8964" max="8964" width="9.625" style="117" customWidth="1"/>
    <col min="8965" max="8965" width="11.75390625" style="117" customWidth="1"/>
    <col min="8966" max="8966" width="13.125" style="117" customWidth="1"/>
    <col min="8967" max="8967" width="9.125" style="117" customWidth="1"/>
    <col min="8968" max="8968" width="9.25390625" style="117" bestFit="1" customWidth="1"/>
    <col min="8969" max="8969" width="12.125" style="117" customWidth="1"/>
    <col min="8970" max="8970" width="12.75390625" style="117" customWidth="1"/>
    <col min="8971" max="8971" width="9.375" style="117" customWidth="1"/>
    <col min="8972" max="8972" width="9.25390625" style="117" bestFit="1" customWidth="1"/>
    <col min="8973" max="8973" width="13.125" style="117" customWidth="1"/>
    <col min="8974" max="8974" width="13.625" style="117" customWidth="1"/>
    <col min="8975" max="8975" width="9.625" style="117" customWidth="1"/>
    <col min="8976" max="8976" width="14.875" style="117" customWidth="1"/>
    <col min="8977" max="9216" width="9.125" style="117" customWidth="1"/>
    <col min="9217" max="9217" width="5.625" style="117" customWidth="1"/>
    <col min="9218" max="9218" width="33.625" style="117" customWidth="1"/>
    <col min="9219" max="9219" width="15.625" style="117" customWidth="1"/>
    <col min="9220" max="9220" width="9.625" style="117" customWidth="1"/>
    <col min="9221" max="9221" width="11.75390625" style="117" customWidth="1"/>
    <col min="9222" max="9222" width="13.125" style="117" customWidth="1"/>
    <col min="9223" max="9223" width="9.125" style="117" customWidth="1"/>
    <col min="9224" max="9224" width="9.25390625" style="117" bestFit="1" customWidth="1"/>
    <col min="9225" max="9225" width="12.125" style="117" customWidth="1"/>
    <col min="9226" max="9226" width="12.75390625" style="117" customWidth="1"/>
    <col min="9227" max="9227" width="9.375" style="117" customWidth="1"/>
    <col min="9228" max="9228" width="9.25390625" style="117" bestFit="1" customWidth="1"/>
    <col min="9229" max="9229" width="13.125" style="117" customWidth="1"/>
    <col min="9230" max="9230" width="13.625" style="117" customWidth="1"/>
    <col min="9231" max="9231" width="9.625" style="117" customWidth="1"/>
    <col min="9232" max="9232" width="14.875" style="117" customWidth="1"/>
    <col min="9233" max="9472" width="9.125" style="117" customWidth="1"/>
    <col min="9473" max="9473" width="5.625" style="117" customWidth="1"/>
    <col min="9474" max="9474" width="33.625" style="117" customWidth="1"/>
    <col min="9475" max="9475" width="15.625" style="117" customWidth="1"/>
    <col min="9476" max="9476" width="9.625" style="117" customWidth="1"/>
    <col min="9477" max="9477" width="11.75390625" style="117" customWidth="1"/>
    <col min="9478" max="9478" width="13.125" style="117" customWidth="1"/>
    <col min="9479" max="9479" width="9.125" style="117" customWidth="1"/>
    <col min="9480" max="9480" width="9.25390625" style="117" bestFit="1" customWidth="1"/>
    <col min="9481" max="9481" width="12.125" style="117" customWidth="1"/>
    <col min="9482" max="9482" width="12.75390625" style="117" customWidth="1"/>
    <col min="9483" max="9483" width="9.375" style="117" customWidth="1"/>
    <col min="9484" max="9484" width="9.25390625" style="117" bestFit="1" customWidth="1"/>
    <col min="9485" max="9485" width="13.125" style="117" customWidth="1"/>
    <col min="9486" max="9486" width="13.625" style="117" customWidth="1"/>
    <col min="9487" max="9487" width="9.625" style="117" customWidth="1"/>
    <col min="9488" max="9488" width="14.875" style="117" customWidth="1"/>
    <col min="9489" max="9728" width="9.125" style="117" customWidth="1"/>
    <col min="9729" max="9729" width="5.625" style="117" customWidth="1"/>
    <col min="9730" max="9730" width="33.625" style="117" customWidth="1"/>
    <col min="9731" max="9731" width="15.625" style="117" customWidth="1"/>
    <col min="9732" max="9732" width="9.625" style="117" customWidth="1"/>
    <col min="9733" max="9733" width="11.75390625" style="117" customWidth="1"/>
    <col min="9734" max="9734" width="13.125" style="117" customWidth="1"/>
    <col min="9735" max="9735" width="9.125" style="117" customWidth="1"/>
    <col min="9736" max="9736" width="9.25390625" style="117" bestFit="1" customWidth="1"/>
    <col min="9737" max="9737" width="12.125" style="117" customWidth="1"/>
    <col min="9738" max="9738" width="12.75390625" style="117" customWidth="1"/>
    <col min="9739" max="9739" width="9.375" style="117" customWidth="1"/>
    <col min="9740" max="9740" width="9.25390625" style="117" bestFit="1" customWidth="1"/>
    <col min="9741" max="9741" width="13.125" style="117" customWidth="1"/>
    <col min="9742" max="9742" width="13.625" style="117" customWidth="1"/>
    <col min="9743" max="9743" width="9.625" style="117" customWidth="1"/>
    <col min="9744" max="9744" width="14.875" style="117" customWidth="1"/>
    <col min="9745" max="9984" width="9.125" style="117" customWidth="1"/>
    <col min="9985" max="9985" width="5.625" style="117" customWidth="1"/>
    <col min="9986" max="9986" width="33.625" style="117" customWidth="1"/>
    <col min="9987" max="9987" width="15.625" style="117" customWidth="1"/>
    <col min="9988" max="9988" width="9.625" style="117" customWidth="1"/>
    <col min="9989" max="9989" width="11.75390625" style="117" customWidth="1"/>
    <col min="9990" max="9990" width="13.125" style="117" customWidth="1"/>
    <col min="9991" max="9991" width="9.125" style="117" customWidth="1"/>
    <col min="9992" max="9992" width="9.25390625" style="117" bestFit="1" customWidth="1"/>
    <col min="9993" max="9993" width="12.125" style="117" customWidth="1"/>
    <col min="9994" max="9994" width="12.75390625" style="117" customWidth="1"/>
    <col min="9995" max="9995" width="9.375" style="117" customWidth="1"/>
    <col min="9996" max="9996" width="9.25390625" style="117" bestFit="1" customWidth="1"/>
    <col min="9997" max="9997" width="13.125" style="117" customWidth="1"/>
    <col min="9998" max="9998" width="13.625" style="117" customWidth="1"/>
    <col min="9999" max="9999" width="9.625" style="117" customWidth="1"/>
    <col min="10000" max="10000" width="14.875" style="117" customWidth="1"/>
    <col min="10001" max="10240" width="9.125" style="117" customWidth="1"/>
    <col min="10241" max="10241" width="5.625" style="117" customWidth="1"/>
    <col min="10242" max="10242" width="33.625" style="117" customWidth="1"/>
    <col min="10243" max="10243" width="15.625" style="117" customWidth="1"/>
    <col min="10244" max="10244" width="9.625" style="117" customWidth="1"/>
    <col min="10245" max="10245" width="11.75390625" style="117" customWidth="1"/>
    <col min="10246" max="10246" width="13.125" style="117" customWidth="1"/>
    <col min="10247" max="10247" width="9.125" style="117" customWidth="1"/>
    <col min="10248" max="10248" width="9.25390625" style="117" bestFit="1" customWidth="1"/>
    <col min="10249" max="10249" width="12.125" style="117" customWidth="1"/>
    <col min="10250" max="10250" width="12.75390625" style="117" customWidth="1"/>
    <col min="10251" max="10251" width="9.375" style="117" customWidth="1"/>
    <col min="10252" max="10252" width="9.25390625" style="117" bestFit="1" customWidth="1"/>
    <col min="10253" max="10253" width="13.125" style="117" customWidth="1"/>
    <col min="10254" max="10254" width="13.625" style="117" customWidth="1"/>
    <col min="10255" max="10255" width="9.625" style="117" customWidth="1"/>
    <col min="10256" max="10256" width="14.875" style="117" customWidth="1"/>
    <col min="10257" max="10496" width="9.125" style="117" customWidth="1"/>
    <col min="10497" max="10497" width="5.625" style="117" customWidth="1"/>
    <col min="10498" max="10498" width="33.625" style="117" customWidth="1"/>
    <col min="10499" max="10499" width="15.625" style="117" customWidth="1"/>
    <col min="10500" max="10500" width="9.625" style="117" customWidth="1"/>
    <col min="10501" max="10501" width="11.75390625" style="117" customWidth="1"/>
    <col min="10502" max="10502" width="13.125" style="117" customWidth="1"/>
    <col min="10503" max="10503" width="9.125" style="117" customWidth="1"/>
    <col min="10504" max="10504" width="9.25390625" style="117" bestFit="1" customWidth="1"/>
    <col min="10505" max="10505" width="12.125" style="117" customWidth="1"/>
    <col min="10506" max="10506" width="12.75390625" style="117" customWidth="1"/>
    <col min="10507" max="10507" width="9.375" style="117" customWidth="1"/>
    <col min="10508" max="10508" width="9.25390625" style="117" bestFit="1" customWidth="1"/>
    <col min="10509" max="10509" width="13.125" style="117" customWidth="1"/>
    <col min="10510" max="10510" width="13.625" style="117" customWidth="1"/>
    <col min="10511" max="10511" width="9.625" style="117" customWidth="1"/>
    <col min="10512" max="10512" width="14.875" style="117" customWidth="1"/>
    <col min="10513" max="10752" width="9.125" style="117" customWidth="1"/>
    <col min="10753" max="10753" width="5.625" style="117" customWidth="1"/>
    <col min="10754" max="10754" width="33.625" style="117" customWidth="1"/>
    <col min="10755" max="10755" width="15.625" style="117" customWidth="1"/>
    <col min="10756" max="10756" width="9.625" style="117" customWidth="1"/>
    <col min="10757" max="10757" width="11.75390625" style="117" customWidth="1"/>
    <col min="10758" max="10758" width="13.125" style="117" customWidth="1"/>
    <col min="10759" max="10759" width="9.125" style="117" customWidth="1"/>
    <col min="10760" max="10760" width="9.25390625" style="117" bestFit="1" customWidth="1"/>
    <col min="10761" max="10761" width="12.125" style="117" customWidth="1"/>
    <col min="10762" max="10762" width="12.75390625" style="117" customWidth="1"/>
    <col min="10763" max="10763" width="9.375" style="117" customWidth="1"/>
    <col min="10764" max="10764" width="9.25390625" style="117" bestFit="1" customWidth="1"/>
    <col min="10765" max="10765" width="13.125" style="117" customWidth="1"/>
    <col min="10766" max="10766" width="13.625" style="117" customWidth="1"/>
    <col min="10767" max="10767" width="9.625" style="117" customWidth="1"/>
    <col min="10768" max="10768" width="14.875" style="117" customWidth="1"/>
    <col min="10769" max="11008" width="9.125" style="117" customWidth="1"/>
    <col min="11009" max="11009" width="5.625" style="117" customWidth="1"/>
    <col min="11010" max="11010" width="33.625" style="117" customWidth="1"/>
    <col min="11011" max="11011" width="15.625" style="117" customWidth="1"/>
    <col min="11012" max="11012" width="9.625" style="117" customWidth="1"/>
    <col min="11013" max="11013" width="11.75390625" style="117" customWidth="1"/>
    <col min="11014" max="11014" width="13.125" style="117" customWidth="1"/>
    <col min="11015" max="11015" width="9.125" style="117" customWidth="1"/>
    <col min="11016" max="11016" width="9.25390625" style="117" bestFit="1" customWidth="1"/>
    <col min="11017" max="11017" width="12.125" style="117" customWidth="1"/>
    <col min="11018" max="11018" width="12.75390625" style="117" customWidth="1"/>
    <col min="11019" max="11019" width="9.375" style="117" customWidth="1"/>
    <col min="11020" max="11020" width="9.25390625" style="117" bestFit="1" customWidth="1"/>
    <col min="11021" max="11021" width="13.125" style="117" customWidth="1"/>
    <col min="11022" max="11022" width="13.625" style="117" customWidth="1"/>
    <col min="11023" max="11023" width="9.625" style="117" customWidth="1"/>
    <col min="11024" max="11024" width="14.875" style="117" customWidth="1"/>
    <col min="11025" max="11264" width="9.125" style="117" customWidth="1"/>
    <col min="11265" max="11265" width="5.625" style="117" customWidth="1"/>
    <col min="11266" max="11266" width="33.625" style="117" customWidth="1"/>
    <col min="11267" max="11267" width="15.625" style="117" customWidth="1"/>
    <col min="11268" max="11268" width="9.625" style="117" customWidth="1"/>
    <col min="11269" max="11269" width="11.75390625" style="117" customWidth="1"/>
    <col min="11270" max="11270" width="13.125" style="117" customWidth="1"/>
    <col min="11271" max="11271" width="9.125" style="117" customWidth="1"/>
    <col min="11272" max="11272" width="9.25390625" style="117" bestFit="1" customWidth="1"/>
    <col min="11273" max="11273" width="12.125" style="117" customWidth="1"/>
    <col min="11274" max="11274" width="12.75390625" style="117" customWidth="1"/>
    <col min="11275" max="11275" width="9.375" style="117" customWidth="1"/>
    <col min="11276" max="11276" width="9.25390625" style="117" bestFit="1" customWidth="1"/>
    <col min="11277" max="11277" width="13.125" style="117" customWidth="1"/>
    <col min="11278" max="11278" width="13.625" style="117" customWidth="1"/>
    <col min="11279" max="11279" width="9.625" style="117" customWidth="1"/>
    <col min="11280" max="11280" width="14.875" style="117" customWidth="1"/>
    <col min="11281" max="11520" width="9.125" style="117" customWidth="1"/>
    <col min="11521" max="11521" width="5.625" style="117" customWidth="1"/>
    <col min="11522" max="11522" width="33.625" style="117" customWidth="1"/>
    <col min="11523" max="11523" width="15.625" style="117" customWidth="1"/>
    <col min="11524" max="11524" width="9.625" style="117" customWidth="1"/>
    <col min="11525" max="11525" width="11.75390625" style="117" customWidth="1"/>
    <col min="11526" max="11526" width="13.125" style="117" customWidth="1"/>
    <col min="11527" max="11527" width="9.125" style="117" customWidth="1"/>
    <col min="11528" max="11528" width="9.25390625" style="117" bestFit="1" customWidth="1"/>
    <col min="11529" max="11529" width="12.125" style="117" customWidth="1"/>
    <col min="11530" max="11530" width="12.75390625" style="117" customWidth="1"/>
    <col min="11531" max="11531" width="9.375" style="117" customWidth="1"/>
    <col min="11532" max="11532" width="9.25390625" style="117" bestFit="1" customWidth="1"/>
    <col min="11533" max="11533" width="13.125" style="117" customWidth="1"/>
    <col min="11534" max="11534" width="13.625" style="117" customWidth="1"/>
    <col min="11535" max="11535" width="9.625" style="117" customWidth="1"/>
    <col min="11536" max="11536" width="14.875" style="117" customWidth="1"/>
    <col min="11537" max="11776" width="9.125" style="117" customWidth="1"/>
    <col min="11777" max="11777" width="5.625" style="117" customWidth="1"/>
    <col min="11778" max="11778" width="33.625" style="117" customWidth="1"/>
    <col min="11779" max="11779" width="15.625" style="117" customWidth="1"/>
    <col min="11780" max="11780" width="9.625" style="117" customWidth="1"/>
    <col min="11781" max="11781" width="11.75390625" style="117" customWidth="1"/>
    <col min="11782" max="11782" width="13.125" style="117" customWidth="1"/>
    <col min="11783" max="11783" width="9.125" style="117" customWidth="1"/>
    <col min="11784" max="11784" width="9.25390625" style="117" bestFit="1" customWidth="1"/>
    <col min="11785" max="11785" width="12.125" style="117" customWidth="1"/>
    <col min="11786" max="11786" width="12.75390625" style="117" customWidth="1"/>
    <col min="11787" max="11787" width="9.375" style="117" customWidth="1"/>
    <col min="11788" max="11788" width="9.25390625" style="117" bestFit="1" customWidth="1"/>
    <col min="11789" max="11789" width="13.125" style="117" customWidth="1"/>
    <col min="11790" max="11790" width="13.625" style="117" customWidth="1"/>
    <col min="11791" max="11791" width="9.625" style="117" customWidth="1"/>
    <col min="11792" max="11792" width="14.875" style="117" customWidth="1"/>
    <col min="11793" max="12032" width="9.125" style="117" customWidth="1"/>
    <col min="12033" max="12033" width="5.625" style="117" customWidth="1"/>
    <col min="12034" max="12034" width="33.625" style="117" customWidth="1"/>
    <col min="12035" max="12035" width="15.625" style="117" customWidth="1"/>
    <col min="12036" max="12036" width="9.625" style="117" customWidth="1"/>
    <col min="12037" max="12037" width="11.75390625" style="117" customWidth="1"/>
    <col min="12038" max="12038" width="13.125" style="117" customWidth="1"/>
    <col min="12039" max="12039" width="9.125" style="117" customWidth="1"/>
    <col min="12040" max="12040" width="9.25390625" style="117" bestFit="1" customWidth="1"/>
    <col min="12041" max="12041" width="12.125" style="117" customWidth="1"/>
    <col min="12042" max="12042" width="12.75390625" style="117" customWidth="1"/>
    <col min="12043" max="12043" width="9.375" style="117" customWidth="1"/>
    <col min="12044" max="12044" width="9.25390625" style="117" bestFit="1" customWidth="1"/>
    <col min="12045" max="12045" width="13.125" style="117" customWidth="1"/>
    <col min="12046" max="12046" width="13.625" style="117" customWidth="1"/>
    <col min="12047" max="12047" width="9.625" style="117" customWidth="1"/>
    <col min="12048" max="12048" width="14.875" style="117" customWidth="1"/>
    <col min="12049" max="12288" width="9.125" style="117" customWidth="1"/>
    <col min="12289" max="12289" width="5.625" style="117" customWidth="1"/>
    <col min="12290" max="12290" width="33.625" style="117" customWidth="1"/>
    <col min="12291" max="12291" width="15.625" style="117" customWidth="1"/>
    <col min="12292" max="12292" width="9.625" style="117" customWidth="1"/>
    <col min="12293" max="12293" width="11.75390625" style="117" customWidth="1"/>
    <col min="12294" max="12294" width="13.125" style="117" customWidth="1"/>
    <col min="12295" max="12295" width="9.125" style="117" customWidth="1"/>
    <col min="12296" max="12296" width="9.25390625" style="117" bestFit="1" customWidth="1"/>
    <col min="12297" max="12297" width="12.125" style="117" customWidth="1"/>
    <col min="12298" max="12298" width="12.75390625" style="117" customWidth="1"/>
    <col min="12299" max="12299" width="9.375" style="117" customWidth="1"/>
    <col min="12300" max="12300" width="9.25390625" style="117" bestFit="1" customWidth="1"/>
    <col min="12301" max="12301" width="13.125" style="117" customWidth="1"/>
    <col min="12302" max="12302" width="13.625" style="117" customWidth="1"/>
    <col min="12303" max="12303" width="9.625" style="117" customWidth="1"/>
    <col min="12304" max="12304" width="14.875" style="117" customWidth="1"/>
    <col min="12305" max="12544" width="9.125" style="117" customWidth="1"/>
    <col min="12545" max="12545" width="5.625" style="117" customWidth="1"/>
    <col min="12546" max="12546" width="33.625" style="117" customWidth="1"/>
    <col min="12547" max="12547" width="15.625" style="117" customWidth="1"/>
    <col min="12548" max="12548" width="9.625" style="117" customWidth="1"/>
    <col min="12549" max="12549" width="11.75390625" style="117" customWidth="1"/>
    <col min="12550" max="12550" width="13.125" style="117" customWidth="1"/>
    <col min="12551" max="12551" width="9.125" style="117" customWidth="1"/>
    <col min="12552" max="12552" width="9.25390625" style="117" bestFit="1" customWidth="1"/>
    <col min="12553" max="12553" width="12.125" style="117" customWidth="1"/>
    <col min="12554" max="12554" width="12.75390625" style="117" customWidth="1"/>
    <col min="12555" max="12555" width="9.375" style="117" customWidth="1"/>
    <col min="12556" max="12556" width="9.25390625" style="117" bestFit="1" customWidth="1"/>
    <col min="12557" max="12557" width="13.125" style="117" customWidth="1"/>
    <col min="12558" max="12558" width="13.625" style="117" customWidth="1"/>
    <col min="12559" max="12559" width="9.625" style="117" customWidth="1"/>
    <col min="12560" max="12560" width="14.875" style="117" customWidth="1"/>
    <col min="12561" max="12800" width="9.125" style="117" customWidth="1"/>
    <col min="12801" max="12801" width="5.625" style="117" customWidth="1"/>
    <col min="12802" max="12802" width="33.625" style="117" customWidth="1"/>
    <col min="12803" max="12803" width="15.625" style="117" customWidth="1"/>
    <col min="12804" max="12804" width="9.625" style="117" customWidth="1"/>
    <col min="12805" max="12805" width="11.75390625" style="117" customWidth="1"/>
    <col min="12806" max="12806" width="13.125" style="117" customWidth="1"/>
    <col min="12807" max="12807" width="9.125" style="117" customWidth="1"/>
    <col min="12808" max="12808" width="9.25390625" style="117" bestFit="1" customWidth="1"/>
    <col min="12809" max="12809" width="12.125" style="117" customWidth="1"/>
    <col min="12810" max="12810" width="12.75390625" style="117" customWidth="1"/>
    <col min="12811" max="12811" width="9.375" style="117" customWidth="1"/>
    <col min="12812" max="12812" width="9.25390625" style="117" bestFit="1" customWidth="1"/>
    <col min="12813" max="12813" width="13.125" style="117" customWidth="1"/>
    <col min="12814" max="12814" width="13.625" style="117" customWidth="1"/>
    <col min="12815" max="12815" width="9.625" style="117" customWidth="1"/>
    <col min="12816" max="12816" width="14.875" style="117" customWidth="1"/>
    <col min="12817" max="13056" width="9.125" style="117" customWidth="1"/>
    <col min="13057" max="13057" width="5.625" style="117" customWidth="1"/>
    <col min="13058" max="13058" width="33.625" style="117" customWidth="1"/>
    <col min="13059" max="13059" width="15.625" style="117" customWidth="1"/>
    <col min="13060" max="13060" width="9.625" style="117" customWidth="1"/>
    <col min="13061" max="13061" width="11.75390625" style="117" customWidth="1"/>
    <col min="13062" max="13062" width="13.125" style="117" customWidth="1"/>
    <col min="13063" max="13063" width="9.125" style="117" customWidth="1"/>
    <col min="13064" max="13064" width="9.25390625" style="117" bestFit="1" customWidth="1"/>
    <col min="13065" max="13065" width="12.125" style="117" customWidth="1"/>
    <col min="13066" max="13066" width="12.75390625" style="117" customWidth="1"/>
    <col min="13067" max="13067" width="9.375" style="117" customWidth="1"/>
    <col min="13068" max="13068" width="9.25390625" style="117" bestFit="1" customWidth="1"/>
    <col min="13069" max="13069" width="13.125" style="117" customWidth="1"/>
    <col min="13070" max="13070" width="13.625" style="117" customWidth="1"/>
    <col min="13071" max="13071" width="9.625" style="117" customWidth="1"/>
    <col min="13072" max="13072" width="14.875" style="117" customWidth="1"/>
    <col min="13073" max="13312" width="9.125" style="117" customWidth="1"/>
    <col min="13313" max="13313" width="5.625" style="117" customWidth="1"/>
    <col min="13314" max="13314" width="33.625" style="117" customWidth="1"/>
    <col min="13315" max="13315" width="15.625" style="117" customWidth="1"/>
    <col min="13316" max="13316" width="9.625" style="117" customWidth="1"/>
    <col min="13317" max="13317" width="11.75390625" style="117" customWidth="1"/>
    <col min="13318" max="13318" width="13.125" style="117" customWidth="1"/>
    <col min="13319" max="13319" width="9.125" style="117" customWidth="1"/>
    <col min="13320" max="13320" width="9.25390625" style="117" bestFit="1" customWidth="1"/>
    <col min="13321" max="13321" width="12.125" style="117" customWidth="1"/>
    <col min="13322" max="13322" width="12.75390625" style="117" customWidth="1"/>
    <col min="13323" max="13323" width="9.375" style="117" customWidth="1"/>
    <col min="13324" max="13324" width="9.25390625" style="117" bestFit="1" customWidth="1"/>
    <col min="13325" max="13325" width="13.125" style="117" customWidth="1"/>
    <col min="13326" max="13326" width="13.625" style="117" customWidth="1"/>
    <col min="13327" max="13327" width="9.625" style="117" customWidth="1"/>
    <col min="13328" max="13328" width="14.875" style="117" customWidth="1"/>
    <col min="13329" max="13568" width="9.125" style="117" customWidth="1"/>
    <col min="13569" max="13569" width="5.625" style="117" customWidth="1"/>
    <col min="13570" max="13570" width="33.625" style="117" customWidth="1"/>
    <col min="13571" max="13571" width="15.625" style="117" customWidth="1"/>
    <col min="13572" max="13572" width="9.625" style="117" customWidth="1"/>
    <col min="13573" max="13573" width="11.75390625" style="117" customWidth="1"/>
    <col min="13574" max="13574" width="13.125" style="117" customWidth="1"/>
    <col min="13575" max="13575" width="9.125" style="117" customWidth="1"/>
    <col min="13576" max="13576" width="9.25390625" style="117" bestFit="1" customWidth="1"/>
    <col min="13577" max="13577" width="12.125" style="117" customWidth="1"/>
    <col min="13578" max="13578" width="12.75390625" style="117" customWidth="1"/>
    <col min="13579" max="13579" width="9.375" style="117" customWidth="1"/>
    <col min="13580" max="13580" width="9.25390625" style="117" bestFit="1" customWidth="1"/>
    <col min="13581" max="13581" width="13.125" style="117" customWidth="1"/>
    <col min="13582" max="13582" width="13.625" style="117" customWidth="1"/>
    <col min="13583" max="13583" width="9.625" style="117" customWidth="1"/>
    <col min="13584" max="13584" width="14.875" style="117" customWidth="1"/>
    <col min="13585" max="13824" width="9.125" style="117" customWidth="1"/>
    <col min="13825" max="13825" width="5.625" style="117" customWidth="1"/>
    <col min="13826" max="13826" width="33.625" style="117" customWidth="1"/>
    <col min="13827" max="13827" width="15.625" style="117" customWidth="1"/>
    <col min="13828" max="13828" width="9.625" style="117" customWidth="1"/>
    <col min="13829" max="13829" width="11.75390625" style="117" customWidth="1"/>
    <col min="13830" max="13830" width="13.125" style="117" customWidth="1"/>
    <col min="13831" max="13831" width="9.125" style="117" customWidth="1"/>
    <col min="13832" max="13832" width="9.25390625" style="117" bestFit="1" customWidth="1"/>
    <col min="13833" max="13833" width="12.125" style="117" customWidth="1"/>
    <col min="13834" max="13834" width="12.75390625" style="117" customWidth="1"/>
    <col min="13835" max="13835" width="9.375" style="117" customWidth="1"/>
    <col min="13836" max="13836" width="9.25390625" style="117" bestFit="1" customWidth="1"/>
    <col min="13837" max="13837" width="13.125" style="117" customWidth="1"/>
    <col min="13838" max="13838" width="13.625" style="117" customWidth="1"/>
    <col min="13839" max="13839" width="9.625" style="117" customWidth="1"/>
    <col min="13840" max="13840" width="14.875" style="117" customWidth="1"/>
    <col min="13841" max="14080" width="9.125" style="117" customWidth="1"/>
    <col min="14081" max="14081" width="5.625" style="117" customWidth="1"/>
    <col min="14082" max="14082" width="33.625" style="117" customWidth="1"/>
    <col min="14083" max="14083" width="15.625" style="117" customWidth="1"/>
    <col min="14084" max="14084" width="9.625" style="117" customWidth="1"/>
    <col min="14085" max="14085" width="11.75390625" style="117" customWidth="1"/>
    <col min="14086" max="14086" width="13.125" style="117" customWidth="1"/>
    <col min="14087" max="14087" width="9.125" style="117" customWidth="1"/>
    <col min="14088" max="14088" width="9.25390625" style="117" bestFit="1" customWidth="1"/>
    <col min="14089" max="14089" width="12.125" style="117" customWidth="1"/>
    <col min="14090" max="14090" width="12.75390625" style="117" customWidth="1"/>
    <col min="14091" max="14091" width="9.375" style="117" customWidth="1"/>
    <col min="14092" max="14092" width="9.25390625" style="117" bestFit="1" customWidth="1"/>
    <col min="14093" max="14093" width="13.125" style="117" customWidth="1"/>
    <col min="14094" max="14094" width="13.625" style="117" customWidth="1"/>
    <col min="14095" max="14095" width="9.625" style="117" customWidth="1"/>
    <col min="14096" max="14096" width="14.875" style="117" customWidth="1"/>
    <col min="14097" max="14336" width="9.125" style="117" customWidth="1"/>
    <col min="14337" max="14337" width="5.625" style="117" customWidth="1"/>
    <col min="14338" max="14338" width="33.625" style="117" customWidth="1"/>
    <col min="14339" max="14339" width="15.625" style="117" customWidth="1"/>
    <col min="14340" max="14340" width="9.625" style="117" customWidth="1"/>
    <col min="14341" max="14341" width="11.75390625" style="117" customWidth="1"/>
    <col min="14342" max="14342" width="13.125" style="117" customWidth="1"/>
    <col min="14343" max="14343" width="9.125" style="117" customWidth="1"/>
    <col min="14344" max="14344" width="9.25390625" style="117" bestFit="1" customWidth="1"/>
    <col min="14345" max="14345" width="12.125" style="117" customWidth="1"/>
    <col min="14346" max="14346" width="12.75390625" style="117" customWidth="1"/>
    <col min="14347" max="14347" width="9.375" style="117" customWidth="1"/>
    <col min="14348" max="14348" width="9.25390625" style="117" bestFit="1" customWidth="1"/>
    <col min="14349" max="14349" width="13.125" style="117" customWidth="1"/>
    <col min="14350" max="14350" width="13.625" style="117" customWidth="1"/>
    <col min="14351" max="14351" width="9.625" style="117" customWidth="1"/>
    <col min="14352" max="14352" width="14.875" style="117" customWidth="1"/>
    <col min="14353" max="14592" width="9.125" style="117" customWidth="1"/>
    <col min="14593" max="14593" width="5.625" style="117" customWidth="1"/>
    <col min="14594" max="14594" width="33.625" style="117" customWidth="1"/>
    <col min="14595" max="14595" width="15.625" style="117" customWidth="1"/>
    <col min="14596" max="14596" width="9.625" style="117" customWidth="1"/>
    <col min="14597" max="14597" width="11.75390625" style="117" customWidth="1"/>
    <col min="14598" max="14598" width="13.125" style="117" customWidth="1"/>
    <col min="14599" max="14599" width="9.125" style="117" customWidth="1"/>
    <col min="14600" max="14600" width="9.25390625" style="117" bestFit="1" customWidth="1"/>
    <col min="14601" max="14601" width="12.125" style="117" customWidth="1"/>
    <col min="14602" max="14602" width="12.75390625" style="117" customWidth="1"/>
    <col min="14603" max="14603" width="9.375" style="117" customWidth="1"/>
    <col min="14604" max="14604" width="9.25390625" style="117" bestFit="1" customWidth="1"/>
    <col min="14605" max="14605" width="13.125" style="117" customWidth="1"/>
    <col min="14606" max="14606" width="13.625" style="117" customWidth="1"/>
    <col min="14607" max="14607" width="9.625" style="117" customWidth="1"/>
    <col min="14608" max="14608" width="14.875" style="117" customWidth="1"/>
    <col min="14609" max="14848" width="9.125" style="117" customWidth="1"/>
    <col min="14849" max="14849" width="5.625" style="117" customWidth="1"/>
    <col min="14850" max="14850" width="33.625" style="117" customWidth="1"/>
    <col min="14851" max="14851" width="15.625" style="117" customWidth="1"/>
    <col min="14852" max="14852" width="9.625" style="117" customWidth="1"/>
    <col min="14853" max="14853" width="11.75390625" style="117" customWidth="1"/>
    <col min="14854" max="14854" width="13.125" style="117" customWidth="1"/>
    <col min="14855" max="14855" width="9.125" style="117" customWidth="1"/>
    <col min="14856" max="14856" width="9.25390625" style="117" bestFit="1" customWidth="1"/>
    <col min="14857" max="14857" width="12.125" style="117" customWidth="1"/>
    <col min="14858" max="14858" width="12.75390625" style="117" customWidth="1"/>
    <col min="14859" max="14859" width="9.375" style="117" customWidth="1"/>
    <col min="14860" max="14860" width="9.25390625" style="117" bestFit="1" customWidth="1"/>
    <col min="14861" max="14861" width="13.125" style="117" customWidth="1"/>
    <col min="14862" max="14862" width="13.625" style="117" customWidth="1"/>
    <col min="14863" max="14863" width="9.625" style="117" customWidth="1"/>
    <col min="14864" max="14864" width="14.875" style="117" customWidth="1"/>
    <col min="14865" max="15104" width="9.125" style="117" customWidth="1"/>
    <col min="15105" max="15105" width="5.625" style="117" customWidth="1"/>
    <col min="15106" max="15106" width="33.625" style="117" customWidth="1"/>
    <col min="15107" max="15107" width="15.625" style="117" customWidth="1"/>
    <col min="15108" max="15108" width="9.625" style="117" customWidth="1"/>
    <col min="15109" max="15109" width="11.75390625" style="117" customWidth="1"/>
    <col min="15110" max="15110" width="13.125" style="117" customWidth="1"/>
    <col min="15111" max="15111" width="9.125" style="117" customWidth="1"/>
    <col min="15112" max="15112" width="9.25390625" style="117" bestFit="1" customWidth="1"/>
    <col min="15113" max="15113" width="12.125" style="117" customWidth="1"/>
    <col min="15114" max="15114" width="12.75390625" style="117" customWidth="1"/>
    <col min="15115" max="15115" width="9.375" style="117" customWidth="1"/>
    <col min="15116" max="15116" width="9.25390625" style="117" bestFit="1" customWidth="1"/>
    <col min="15117" max="15117" width="13.125" style="117" customWidth="1"/>
    <col min="15118" max="15118" width="13.625" style="117" customWidth="1"/>
    <col min="15119" max="15119" width="9.625" style="117" customWidth="1"/>
    <col min="15120" max="15120" width="14.875" style="117" customWidth="1"/>
    <col min="15121" max="15360" width="9.125" style="117" customWidth="1"/>
    <col min="15361" max="15361" width="5.625" style="117" customWidth="1"/>
    <col min="15362" max="15362" width="33.625" style="117" customWidth="1"/>
    <col min="15363" max="15363" width="15.625" style="117" customWidth="1"/>
    <col min="15364" max="15364" width="9.625" style="117" customWidth="1"/>
    <col min="15365" max="15365" width="11.75390625" style="117" customWidth="1"/>
    <col min="15366" max="15366" width="13.125" style="117" customWidth="1"/>
    <col min="15367" max="15367" width="9.125" style="117" customWidth="1"/>
    <col min="15368" max="15368" width="9.25390625" style="117" bestFit="1" customWidth="1"/>
    <col min="15369" max="15369" width="12.125" style="117" customWidth="1"/>
    <col min="15370" max="15370" width="12.75390625" style="117" customWidth="1"/>
    <col min="15371" max="15371" width="9.375" style="117" customWidth="1"/>
    <col min="15372" max="15372" width="9.25390625" style="117" bestFit="1" customWidth="1"/>
    <col min="15373" max="15373" width="13.125" style="117" customWidth="1"/>
    <col min="15374" max="15374" width="13.625" style="117" customWidth="1"/>
    <col min="15375" max="15375" width="9.625" style="117" customWidth="1"/>
    <col min="15376" max="15376" width="14.875" style="117" customWidth="1"/>
    <col min="15377" max="15616" width="9.125" style="117" customWidth="1"/>
    <col min="15617" max="15617" width="5.625" style="117" customWidth="1"/>
    <col min="15618" max="15618" width="33.625" style="117" customWidth="1"/>
    <col min="15619" max="15619" width="15.625" style="117" customWidth="1"/>
    <col min="15620" max="15620" width="9.625" style="117" customWidth="1"/>
    <col min="15621" max="15621" width="11.75390625" style="117" customWidth="1"/>
    <col min="15622" max="15622" width="13.125" style="117" customWidth="1"/>
    <col min="15623" max="15623" width="9.125" style="117" customWidth="1"/>
    <col min="15624" max="15624" width="9.25390625" style="117" bestFit="1" customWidth="1"/>
    <col min="15625" max="15625" width="12.125" style="117" customWidth="1"/>
    <col min="15626" max="15626" width="12.75390625" style="117" customWidth="1"/>
    <col min="15627" max="15627" width="9.375" style="117" customWidth="1"/>
    <col min="15628" max="15628" width="9.25390625" style="117" bestFit="1" customWidth="1"/>
    <col min="15629" max="15629" width="13.125" style="117" customWidth="1"/>
    <col min="15630" max="15630" width="13.625" style="117" customWidth="1"/>
    <col min="15631" max="15631" width="9.625" style="117" customWidth="1"/>
    <col min="15632" max="15632" width="14.875" style="117" customWidth="1"/>
    <col min="15633" max="15872" width="9.125" style="117" customWidth="1"/>
    <col min="15873" max="15873" width="5.625" style="117" customWidth="1"/>
    <col min="15874" max="15874" width="33.625" style="117" customWidth="1"/>
    <col min="15875" max="15875" width="15.625" style="117" customWidth="1"/>
    <col min="15876" max="15876" width="9.625" style="117" customWidth="1"/>
    <col min="15877" max="15877" width="11.75390625" style="117" customWidth="1"/>
    <col min="15878" max="15878" width="13.125" style="117" customWidth="1"/>
    <col min="15879" max="15879" width="9.125" style="117" customWidth="1"/>
    <col min="15880" max="15880" width="9.25390625" style="117" bestFit="1" customWidth="1"/>
    <col min="15881" max="15881" width="12.125" style="117" customWidth="1"/>
    <col min="15882" max="15882" width="12.75390625" style="117" customWidth="1"/>
    <col min="15883" max="15883" width="9.375" style="117" customWidth="1"/>
    <col min="15884" max="15884" width="9.25390625" style="117" bestFit="1" customWidth="1"/>
    <col min="15885" max="15885" width="13.125" style="117" customWidth="1"/>
    <col min="15886" max="15886" width="13.625" style="117" customWidth="1"/>
    <col min="15887" max="15887" width="9.625" style="117" customWidth="1"/>
    <col min="15888" max="15888" width="14.875" style="117" customWidth="1"/>
    <col min="15889" max="16128" width="9.125" style="117" customWidth="1"/>
    <col min="16129" max="16129" width="5.625" style="117" customWidth="1"/>
    <col min="16130" max="16130" width="33.625" style="117" customWidth="1"/>
    <col min="16131" max="16131" width="15.625" style="117" customWidth="1"/>
    <col min="16132" max="16132" width="9.625" style="117" customWidth="1"/>
    <col min="16133" max="16133" width="11.75390625" style="117" customWidth="1"/>
    <col min="16134" max="16134" width="13.125" style="117" customWidth="1"/>
    <col min="16135" max="16135" width="9.125" style="117" customWidth="1"/>
    <col min="16136" max="16136" width="9.25390625" style="117" bestFit="1" customWidth="1"/>
    <col min="16137" max="16137" width="12.125" style="117" customWidth="1"/>
    <col min="16138" max="16138" width="12.75390625" style="117" customWidth="1"/>
    <col min="16139" max="16139" width="9.375" style="117" customWidth="1"/>
    <col min="16140" max="16140" width="9.25390625" style="117" bestFit="1" customWidth="1"/>
    <col min="16141" max="16141" width="13.125" style="117" customWidth="1"/>
    <col min="16142" max="16142" width="13.625" style="117" customWidth="1"/>
    <col min="16143" max="16143" width="9.625" style="117" customWidth="1"/>
    <col min="16144" max="16144" width="14.875" style="117" customWidth="1"/>
    <col min="16145" max="16384" width="9.125" style="117" customWidth="1"/>
  </cols>
  <sheetData>
    <row r="1" spans="13:16" ht="12.75">
      <c r="M1" s="291" t="s">
        <v>410</v>
      </c>
      <c r="N1" s="291"/>
      <c r="O1" s="291"/>
      <c r="P1" s="291"/>
    </row>
    <row r="2" spans="13:16" ht="12.75">
      <c r="M2" s="291" t="s">
        <v>718</v>
      </c>
      <c r="N2" s="291"/>
      <c r="O2" s="291"/>
      <c r="P2" s="291"/>
    </row>
    <row r="3" spans="13:16" ht="12.75">
      <c r="M3" s="291" t="s">
        <v>721</v>
      </c>
      <c r="N3" s="291"/>
      <c r="O3" s="291"/>
      <c r="P3" s="291"/>
    </row>
    <row r="5" spans="1:16" ht="12.75">
      <c r="A5" s="119"/>
      <c r="B5" s="120"/>
      <c r="C5" s="120"/>
      <c r="D5" s="121"/>
      <c r="E5" s="121"/>
      <c r="F5" s="121"/>
      <c r="G5" s="121"/>
      <c r="H5" s="121" t="s">
        <v>387</v>
      </c>
      <c r="I5" s="121"/>
      <c r="J5" s="121"/>
      <c r="K5" s="121"/>
      <c r="L5" s="121"/>
      <c r="M5" s="121"/>
      <c r="N5" s="121"/>
      <c r="O5" s="121"/>
      <c r="P5" s="122"/>
    </row>
    <row r="6" spans="1:16" ht="12.75">
      <c r="A6" s="292" t="s">
        <v>388</v>
      </c>
      <c r="B6" s="292"/>
      <c r="C6" s="292"/>
      <c r="D6" s="292"/>
      <c r="E6" s="292"/>
      <c r="F6" s="292"/>
      <c r="G6" s="292"/>
      <c r="H6" s="292"/>
      <c r="I6" s="292"/>
      <c r="J6" s="292"/>
      <c r="K6" s="292"/>
      <c r="L6" s="292"/>
      <c r="M6" s="292"/>
      <c r="N6" s="292"/>
      <c r="O6" s="292"/>
      <c r="P6" s="292"/>
    </row>
    <row r="8" spans="1:16" ht="12.75">
      <c r="A8" s="293" t="s">
        <v>389</v>
      </c>
      <c r="B8" s="293" t="s">
        <v>390</v>
      </c>
      <c r="C8" s="290" t="s">
        <v>391</v>
      </c>
      <c r="D8" s="290" t="s">
        <v>392</v>
      </c>
      <c r="E8" s="290"/>
      <c r="F8" s="290"/>
      <c r="G8" s="290"/>
      <c r="H8" s="290"/>
      <c r="I8" s="290"/>
      <c r="J8" s="290"/>
      <c r="K8" s="290"/>
      <c r="L8" s="290"/>
      <c r="M8" s="290"/>
      <c r="N8" s="290"/>
      <c r="O8" s="290"/>
      <c r="P8" s="290" t="s">
        <v>393</v>
      </c>
    </row>
    <row r="9" spans="1:16" ht="17.25" customHeight="1">
      <c r="A9" s="293"/>
      <c r="B9" s="293"/>
      <c r="C9" s="290"/>
      <c r="D9" s="290" t="s">
        <v>98</v>
      </c>
      <c r="E9" s="290"/>
      <c r="F9" s="290"/>
      <c r="G9" s="290"/>
      <c r="H9" s="290" t="s">
        <v>99</v>
      </c>
      <c r="I9" s="290"/>
      <c r="J9" s="290"/>
      <c r="K9" s="290"/>
      <c r="L9" s="290" t="s">
        <v>119</v>
      </c>
      <c r="M9" s="290"/>
      <c r="N9" s="290"/>
      <c r="O9" s="290"/>
      <c r="P9" s="290"/>
    </row>
    <row r="10" spans="1:16" ht="78.75">
      <c r="A10" s="293"/>
      <c r="B10" s="293"/>
      <c r="C10" s="290"/>
      <c r="D10" s="123" t="s">
        <v>394</v>
      </c>
      <c r="E10" s="123" t="s">
        <v>395</v>
      </c>
      <c r="F10" s="123" t="s">
        <v>396</v>
      </c>
      <c r="G10" s="123" t="s">
        <v>397</v>
      </c>
      <c r="H10" s="123" t="s">
        <v>394</v>
      </c>
      <c r="I10" s="123" t="s">
        <v>395</v>
      </c>
      <c r="J10" s="123" t="s">
        <v>396</v>
      </c>
      <c r="K10" s="123" t="s">
        <v>397</v>
      </c>
      <c r="L10" s="123" t="s">
        <v>394</v>
      </c>
      <c r="M10" s="123" t="s">
        <v>395</v>
      </c>
      <c r="N10" s="123" t="s">
        <v>396</v>
      </c>
      <c r="O10" s="123" t="s">
        <v>397</v>
      </c>
      <c r="P10" s="290"/>
    </row>
    <row r="11" spans="1:16" ht="31.5">
      <c r="A11" s="124">
        <v>1</v>
      </c>
      <c r="B11" s="124" t="s">
        <v>32</v>
      </c>
      <c r="C11" s="125" t="s">
        <v>398</v>
      </c>
      <c r="D11" s="160">
        <f>D12</f>
        <v>1224.6000000000001</v>
      </c>
      <c r="E11" s="160">
        <f aca="true" t="shared" si="0" ref="E11:F12">E12</f>
        <v>4898.6</v>
      </c>
      <c r="F11" s="160">
        <f t="shared" si="0"/>
        <v>0</v>
      </c>
      <c r="G11" s="160">
        <f aca="true" t="shared" si="1" ref="G11:G12">SUM(D11:F11)</f>
        <v>6123.200000000001</v>
      </c>
      <c r="H11" s="123">
        <f>H12</f>
        <v>0</v>
      </c>
      <c r="I11" s="123">
        <f aca="true" t="shared" si="2" ref="I11:J12">I12</f>
        <v>0</v>
      </c>
      <c r="J11" s="123">
        <f t="shared" si="2"/>
        <v>0</v>
      </c>
      <c r="K11" s="123">
        <f>SUM(H11:J11)</f>
        <v>0</v>
      </c>
      <c r="L11" s="123">
        <f>L12</f>
        <v>0</v>
      </c>
      <c r="M11" s="123">
        <f aca="true" t="shared" si="3" ref="M11:N12">M12</f>
        <v>0</v>
      </c>
      <c r="N11" s="123">
        <f t="shared" si="3"/>
        <v>0</v>
      </c>
      <c r="O11" s="123">
        <f>SUM(L11:N11)</f>
        <v>0</v>
      </c>
      <c r="P11" s="126" t="s">
        <v>63</v>
      </c>
    </row>
    <row r="12" spans="1:16" ht="12.75">
      <c r="A12" s="124" t="s">
        <v>399</v>
      </c>
      <c r="B12" s="124" t="s">
        <v>343</v>
      </c>
      <c r="C12" s="127" t="s">
        <v>398</v>
      </c>
      <c r="D12" s="160">
        <f>D13</f>
        <v>1224.6000000000001</v>
      </c>
      <c r="E12" s="160">
        <f t="shared" si="0"/>
        <v>4898.6</v>
      </c>
      <c r="F12" s="160">
        <f t="shared" si="0"/>
        <v>0</v>
      </c>
      <c r="G12" s="160">
        <f t="shared" si="1"/>
        <v>6123.200000000001</v>
      </c>
      <c r="H12" s="123">
        <f>H13</f>
        <v>0</v>
      </c>
      <c r="I12" s="123">
        <f t="shared" si="2"/>
        <v>0</v>
      </c>
      <c r="J12" s="123">
        <f t="shared" si="2"/>
        <v>0</v>
      </c>
      <c r="K12" s="123">
        <f>SUM(H12:J12)</f>
        <v>0</v>
      </c>
      <c r="L12" s="123">
        <f>L13</f>
        <v>0</v>
      </c>
      <c r="M12" s="123">
        <f t="shared" si="3"/>
        <v>0</v>
      </c>
      <c r="N12" s="123">
        <f t="shared" si="3"/>
        <v>0</v>
      </c>
      <c r="O12" s="123">
        <f aca="true" t="shared" si="4" ref="O12:O13">SUM(L12:N12)</f>
        <v>0</v>
      </c>
      <c r="P12" s="126" t="s">
        <v>342</v>
      </c>
    </row>
    <row r="13" spans="1:16" ht="78.75">
      <c r="A13" s="128" t="s">
        <v>400</v>
      </c>
      <c r="B13" s="124" t="s">
        <v>401</v>
      </c>
      <c r="C13" s="129" t="s">
        <v>402</v>
      </c>
      <c r="D13" s="123">
        <f>'№4 '!F215</f>
        <v>1224.6000000000001</v>
      </c>
      <c r="E13" s="123">
        <f>'№4 '!F212</f>
        <v>4898.6</v>
      </c>
      <c r="F13" s="123">
        <v>0</v>
      </c>
      <c r="G13" s="123">
        <f>SUM(D13:F13)</f>
        <v>6123.200000000001</v>
      </c>
      <c r="H13" s="123">
        <v>0</v>
      </c>
      <c r="I13" s="123">
        <v>0</v>
      </c>
      <c r="J13" s="123">
        <v>0</v>
      </c>
      <c r="K13" s="123">
        <f>SUM(H13:J13)</f>
        <v>0</v>
      </c>
      <c r="L13" s="123">
        <v>0</v>
      </c>
      <c r="M13" s="123">
        <v>0</v>
      </c>
      <c r="N13" s="123">
        <v>0</v>
      </c>
      <c r="O13" s="123">
        <f t="shared" si="4"/>
        <v>0</v>
      </c>
      <c r="P13" s="126" t="s">
        <v>342</v>
      </c>
    </row>
    <row r="14" spans="1:16" ht="18.6" customHeight="1">
      <c r="A14" s="130" t="s">
        <v>403</v>
      </c>
      <c r="B14" s="130" t="s">
        <v>36</v>
      </c>
      <c r="C14" s="131" t="s">
        <v>398</v>
      </c>
      <c r="D14" s="132">
        <f>D15+D17</f>
        <v>1895.8</v>
      </c>
      <c r="E14" s="132">
        <f aca="true" t="shared" si="5" ref="E14:O14">E15+E17</f>
        <v>12425.3</v>
      </c>
      <c r="F14" s="132">
        <f t="shared" si="5"/>
        <v>3000.7</v>
      </c>
      <c r="G14" s="132">
        <f t="shared" si="5"/>
        <v>17321.8</v>
      </c>
      <c r="H14" s="132">
        <f t="shared" si="5"/>
        <v>0</v>
      </c>
      <c r="I14" s="132">
        <f t="shared" si="5"/>
        <v>7001.6</v>
      </c>
      <c r="J14" s="132">
        <f t="shared" si="5"/>
        <v>1000.1999999999998</v>
      </c>
      <c r="K14" s="132">
        <f t="shared" si="5"/>
        <v>8001.8</v>
      </c>
      <c r="L14" s="132">
        <f t="shared" si="5"/>
        <v>0</v>
      </c>
      <c r="M14" s="132">
        <f t="shared" si="5"/>
        <v>7001.6</v>
      </c>
      <c r="N14" s="132">
        <f t="shared" si="5"/>
        <v>2000.5</v>
      </c>
      <c r="O14" s="132">
        <f t="shared" si="5"/>
        <v>9002.1</v>
      </c>
      <c r="P14" s="133" t="s">
        <v>44</v>
      </c>
    </row>
    <row r="15" spans="1:16" ht="31.5">
      <c r="A15" s="124" t="s">
        <v>404</v>
      </c>
      <c r="B15" s="15" t="s">
        <v>39</v>
      </c>
      <c r="C15" s="131" t="s">
        <v>398</v>
      </c>
      <c r="D15" s="132">
        <f>D16</f>
        <v>1895.8</v>
      </c>
      <c r="E15" s="132">
        <f aca="true" t="shared" si="6" ref="E15:O15">E16</f>
        <v>4423.5</v>
      </c>
      <c r="F15" s="132">
        <f t="shared" si="6"/>
        <v>0</v>
      </c>
      <c r="G15" s="132">
        <f t="shared" si="6"/>
        <v>6319.3</v>
      </c>
      <c r="H15" s="132">
        <f t="shared" si="6"/>
        <v>0</v>
      </c>
      <c r="I15" s="132">
        <f t="shared" si="6"/>
        <v>0</v>
      </c>
      <c r="J15" s="132">
        <f t="shared" si="6"/>
        <v>0</v>
      </c>
      <c r="K15" s="132">
        <f t="shared" si="6"/>
        <v>0</v>
      </c>
      <c r="L15" s="132">
        <f t="shared" si="6"/>
        <v>0</v>
      </c>
      <c r="M15" s="132">
        <f t="shared" si="6"/>
        <v>0</v>
      </c>
      <c r="N15" s="132">
        <f t="shared" si="6"/>
        <v>0</v>
      </c>
      <c r="O15" s="132">
        <f t="shared" si="6"/>
        <v>0</v>
      </c>
      <c r="P15" s="133" t="s">
        <v>45</v>
      </c>
    </row>
    <row r="16" spans="1:16" ht="126">
      <c r="A16" s="124" t="s">
        <v>405</v>
      </c>
      <c r="B16" s="130" t="s">
        <v>406</v>
      </c>
      <c r="C16" s="130" t="s">
        <v>4</v>
      </c>
      <c r="D16" s="132">
        <f>'№4 '!F587</f>
        <v>1895.8</v>
      </c>
      <c r="E16" s="123">
        <f>'№4 '!F582</f>
        <v>4423.5</v>
      </c>
      <c r="F16" s="123">
        <v>0</v>
      </c>
      <c r="G16" s="132">
        <f>SUM(D16:F16)</f>
        <v>6319.3</v>
      </c>
      <c r="H16" s="123">
        <v>0</v>
      </c>
      <c r="I16" s="123">
        <v>0</v>
      </c>
      <c r="J16" s="123">
        <v>0</v>
      </c>
      <c r="K16" s="132">
        <f>SUM(H16:J16)</f>
        <v>0</v>
      </c>
      <c r="L16" s="123">
        <v>0</v>
      </c>
      <c r="M16" s="123">
        <v>0</v>
      </c>
      <c r="N16" s="123">
        <v>0</v>
      </c>
      <c r="O16" s="132">
        <f>SUM(L16:N16)</f>
        <v>0</v>
      </c>
      <c r="P16" s="133" t="s">
        <v>45</v>
      </c>
    </row>
    <row r="17" spans="1:16" ht="19.15" customHeight="1">
      <c r="A17" s="130" t="s">
        <v>407</v>
      </c>
      <c r="B17" s="130" t="s">
        <v>92</v>
      </c>
      <c r="C17" s="131" t="s">
        <v>398</v>
      </c>
      <c r="D17" s="132">
        <f>D18</f>
        <v>0</v>
      </c>
      <c r="E17" s="132">
        <f aca="true" t="shared" si="7" ref="E17:N17">E18</f>
        <v>8001.8</v>
      </c>
      <c r="F17" s="132">
        <f t="shared" si="7"/>
        <v>3000.7</v>
      </c>
      <c r="G17" s="132">
        <f aca="true" t="shared" si="8" ref="G17:G18">D17+E17+F17</f>
        <v>11002.5</v>
      </c>
      <c r="H17" s="132">
        <f>H18</f>
        <v>0</v>
      </c>
      <c r="I17" s="132">
        <f t="shared" si="7"/>
        <v>7001.6</v>
      </c>
      <c r="J17" s="132">
        <f t="shared" si="7"/>
        <v>1000.1999999999998</v>
      </c>
      <c r="K17" s="132">
        <f>H17+I17+J17</f>
        <v>8001.8</v>
      </c>
      <c r="L17" s="132">
        <f>L18</f>
        <v>0</v>
      </c>
      <c r="M17" s="132">
        <f t="shared" si="7"/>
        <v>7001.6</v>
      </c>
      <c r="N17" s="132">
        <f t="shared" si="7"/>
        <v>2000.5</v>
      </c>
      <c r="O17" s="132">
        <f>L17+M17+N17</f>
        <v>9002.1</v>
      </c>
      <c r="P17" s="126" t="s">
        <v>91</v>
      </c>
    </row>
    <row r="18" spans="1:16" ht="131.25" customHeight="1">
      <c r="A18" s="130" t="s">
        <v>405</v>
      </c>
      <c r="B18" s="130" t="s">
        <v>406</v>
      </c>
      <c r="C18" s="130" t="s">
        <v>4</v>
      </c>
      <c r="D18" s="134">
        <v>0</v>
      </c>
      <c r="E18" s="134">
        <f>'№4 '!F594</f>
        <v>8001.8</v>
      </c>
      <c r="F18" s="134">
        <f>'№4 '!F597</f>
        <v>3000.7</v>
      </c>
      <c r="G18" s="132">
        <f t="shared" si="8"/>
        <v>11002.5</v>
      </c>
      <c r="H18" s="134">
        <v>0</v>
      </c>
      <c r="I18" s="134">
        <f>'№4 '!G594</f>
        <v>7001.6</v>
      </c>
      <c r="J18" s="134">
        <f>'№4 '!G597</f>
        <v>1000.1999999999998</v>
      </c>
      <c r="K18" s="132">
        <f>H18+I18+J18</f>
        <v>8001.8</v>
      </c>
      <c r="L18" s="134">
        <v>0</v>
      </c>
      <c r="M18" s="134">
        <f>'№4 '!H594</f>
        <v>7001.6</v>
      </c>
      <c r="N18" s="134">
        <f>'№4 '!H597</f>
        <v>2000.5</v>
      </c>
      <c r="O18" s="132">
        <f>L18+M18+N18</f>
        <v>9002.1</v>
      </c>
      <c r="P18" s="126" t="s">
        <v>91</v>
      </c>
    </row>
    <row r="19" spans="1:16" ht="12.75">
      <c r="A19" s="131" t="s">
        <v>438</v>
      </c>
      <c r="B19" s="130" t="s">
        <v>35</v>
      </c>
      <c r="C19" s="131" t="s">
        <v>398</v>
      </c>
      <c r="D19" s="134">
        <f aca="true" t="shared" si="9" ref="D19:F20">D20</f>
        <v>54.6</v>
      </c>
      <c r="E19" s="134">
        <f t="shared" si="9"/>
        <v>0</v>
      </c>
      <c r="F19" s="134">
        <f t="shared" si="9"/>
        <v>0</v>
      </c>
      <c r="G19" s="132">
        <f>D19+E19+F19</f>
        <v>54.6</v>
      </c>
      <c r="H19" s="134">
        <f aca="true" t="shared" si="10" ref="H19:J20">H20</f>
        <v>0</v>
      </c>
      <c r="I19" s="134">
        <f t="shared" si="10"/>
        <v>0</v>
      </c>
      <c r="J19" s="134">
        <f t="shared" si="10"/>
        <v>0</v>
      </c>
      <c r="K19" s="132">
        <f>H19+I19+J19</f>
        <v>0</v>
      </c>
      <c r="L19" s="134">
        <f aca="true" t="shared" si="11" ref="L19:N20">L20</f>
        <v>0</v>
      </c>
      <c r="M19" s="134">
        <f t="shared" si="11"/>
        <v>0</v>
      </c>
      <c r="N19" s="134">
        <f t="shared" si="11"/>
        <v>0</v>
      </c>
      <c r="O19" s="132">
        <f>L19+M19+N19</f>
        <v>0</v>
      </c>
      <c r="P19" s="126" t="s">
        <v>93</v>
      </c>
    </row>
    <row r="20" spans="1:16" ht="12.75">
      <c r="A20" s="172" t="s">
        <v>439</v>
      </c>
      <c r="B20" s="130" t="s">
        <v>68</v>
      </c>
      <c r="C20" s="131" t="s">
        <v>398</v>
      </c>
      <c r="D20" s="134">
        <f t="shared" si="9"/>
        <v>54.6</v>
      </c>
      <c r="E20" s="134">
        <f t="shared" si="9"/>
        <v>0</v>
      </c>
      <c r="F20" s="134">
        <f t="shared" si="9"/>
        <v>0</v>
      </c>
      <c r="G20" s="132">
        <f>D20+E20+F20</f>
        <v>54.6</v>
      </c>
      <c r="H20" s="134">
        <f t="shared" si="10"/>
        <v>0</v>
      </c>
      <c r="I20" s="134">
        <f t="shared" si="10"/>
        <v>0</v>
      </c>
      <c r="J20" s="134">
        <f t="shared" si="10"/>
        <v>0</v>
      </c>
      <c r="K20" s="132">
        <f>K21</f>
        <v>0</v>
      </c>
      <c r="L20" s="134">
        <f t="shared" si="11"/>
        <v>0</v>
      </c>
      <c r="M20" s="134">
        <f t="shared" si="11"/>
        <v>0</v>
      </c>
      <c r="N20" s="134">
        <f t="shared" si="11"/>
        <v>0</v>
      </c>
      <c r="O20" s="132">
        <f>O21</f>
        <v>0</v>
      </c>
      <c r="P20" s="126" t="s">
        <v>93</v>
      </c>
    </row>
    <row r="21" spans="1:16" ht="63">
      <c r="A21" s="131" t="s">
        <v>440</v>
      </c>
      <c r="B21" s="130" t="s">
        <v>441</v>
      </c>
      <c r="C21" s="130" t="s">
        <v>402</v>
      </c>
      <c r="D21" s="134">
        <v>54.6</v>
      </c>
      <c r="E21" s="134">
        <v>0</v>
      </c>
      <c r="F21" s="134">
        <v>0</v>
      </c>
      <c r="G21" s="132">
        <f>D21+E21+F21</f>
        <v>54.6</v>
      </c>
      <c r="H21" s="134">
        <v>0</v>
      </c>
      <c r="I21" s="134">
        <v>0</v>
      </c>
      <c r="J21" s="134">
        <v>0</v>
      </c>
      <c r="K21" s="132">
        <f>H21+I21+J21</f>
        <v>0</v>
      </c>
      <c r="L21" s="134">
        <v>0</v>
      </c>
      <c r="M21" s="134">
        <v>0</v>
      </c>
      <c r="N21" s="134">
        <v>0</v>
      </c>
      <c r="O21" s="132">
        <f>L21+M21+N21</f>
        <v>0</v>
      </c>
      <c r="P21" s="126" t="s">
        <v>93</v>
      </c>
    </row>
    <row r="22" spans="1:16" ht="15.75" customHeight="1">
      <c r="A22" s="135"/>
      <c r="B22" s="173" t="s">
        <v>408</v>
      </c>
      <c r="C22" s="174"/>
      <c r="D22" s="175">
        <f>D11+D14+D19</f>
        <v>3175</v>
      </c>
      <c r="E22" s="175">
        <f aca="true" t="shared" si="12" ref="E22:F22">E11+E14+E19</f>
        <v>17323.9</v>
      </c>
      <c r="F22" s="175">
        <f t="shared" si="12"/>
        <v>3000.7</v>
      </c>
      <c r="G22" s="175">
        <f>G11+G14+G19</f>
        <v>23499.6</v>
      </c>
      <c r="H22" s="175">
        <f aca="true" t="shared" si="13" ref="H22:O22">H11+H14+H19</f>
        <v>0</v>
      </c>
      <c r="I22" s="175">
        <f t="shared" si="13"/>
        <v>7001.6</v>
      </c>
      <c r="J22" s="175">
        <f t="shared" si="13"/>
        <v>1000.1999999999998</v>
      </c>
      <c r="K22" s="175">
        <f t="shared" si="13"/>
        <v>8001.8</v>
      </c>
      <c r="L22" s="175">
        <f t="shared" si="13"/>
        <v>0</v>
      </c>
      <c r="M22" s="175">
        <f t="shared" si="13"/>
        <v>7001.6</v>
      </c>
      <c r="N22" s="175">
        <f t="shared" si="13"/>
        <v>2000.5</v>
      </c>
      <c r="O22" s="175">
        <f t="shared" si="13"/>
        <v>9002.1</v>
      </c>
      <c r="P22" s="176" t="s">
        <v>398</v>
      </c>
    </row>
    <row r="23" spans="1:16" ht="14.25" customHeight="1">
      <c r="A23" s="136"/>
      <c r="B23" s="136"/>
      <c r="C23" s="137"/>
      <c r="D23" s="138"/>
      <c r="E23" s="138"/>
      <c r="F23" s="138"/>
      <c r="G23" s="139"/>
      <c r="H23" s="138"/>
      <c r="I23" s="138"/>
      <c r="J23" s="138"/>
      <c r="K23" s="139"/>
      <c r="L23" s="138"/>
      <c r="M23" s="138"/>
      <c r="N23" s="138"/>
      <c r="O23" s="139"/>
      <c r="P23" s="140"/>
    </row>
    <row r="24" spans="1:16" ht="2.25" customHeight="1" hidden="1">
      <c r="A24" s="136"/>
      <c r="B24" s="136"/>
      <c r="C24" s="137"/>
      <c r="D24" s="138"/>
      <c r="E24" s="138"/>
      <c r="F24" s="138"/>
      <c r="G24" s="139"/>
      <c r="H24" s="138"/>
      <c r="I24" s="138"/>
      <c r="J24" s="138"/>
      <c r="K24" s="139"/>
      <c r="L24" s="138"/>
      <c r="M24" s="138"/>
      <c r="N24" s="138"/>
      <c r="O24" s="139"/>
      <c r="P24" s="140"/>
    </row>
    <row r="25" spans="1:16" ht="12.75" hidden="1">
      <c r="A25" s="136"/>
      <c r="B25" s="136"/>
      <c r="C25" s="137"/>
      <c r="D25" s="138"/>
      <c r="E25" s="138"/>
      <c r="F25" s="138"/>
      <c r="G25" s="139"/>
      <c r="H25" s="138"/>
      <c r="I25" s="138"/>
      <c r="J25" s="138"/>
      <c r="K25" s="139"/>
      <c r="L25" s="138"/>
      <c r="M25" s="138"/>
      <c r="N25" s="138"/>
      <c r="O25" s="139"/>
      <c r="P25" s="140"/>
    </row>
    <row r="26" spans="1:16" ht="12.75" hidden="1">
      <c r="A26" s="136"/>
      <c r="B26" s="136"/>
      <c r="C26" s="137"/>
      <c r="D26" s="138" t="e">
        <f>#REF!+#REF!+#REF!</f>
        <v>#REF!</v>
      </c>
      <c r="E26" s="138" t="e">
        <f>#REF!+#REF!+#REF!</f>
        <v>#REF!</v>
      </c>
      <c r="F26" s="138" t="e">
        <f>#REF!+#REF!+#REF!</f>
        <v>#REF!</v>
      </c>
      <c r="G26" s="138" t="e">
        <f>#REF!+#REF!+#REF!</f>
        <v>#REF!</v>
      </c>
      <c r="H26" s="138" t="e">
        <f>#REF!+#REF!+#REF!</f>
        <v>#REF!</v>
      </c>
      <c r="I26" s="138" t="e">
        <f>#REF!+#REF!+#REF!</f>
        <v>#REF!</v>
      </c>
      <c r="J26" s="138" t="e">
        <f>#REF!+#REF!+#REF!</f>
        <v>#REF!</v>
      </c>
      <c r="K26" s="138" t="e">
        <f>#REF!+#REF!+#REF!</f>
        <v>#REF!</v>
      </c>
      <c r="L26" s="138" t="e">
        <f>#REF!+#REF!+#REF!</f>
        <v>#REF!</v>
      </c>
      <c r="M26" s="138" t="e">
        <f>#REF!+#REF!+#REF!</f>
        <v>#REF!</v>
      </c>
      <c r="N26" s="138" t="e">
        <f>#REF!+#REF!+#REF!</f>
        <v>#REF!</v>
      </c>
      <c r="O26" s="138" t="e">
        <f>#REF!+#REF!+#REF!</f>
        <v>#REF!</v>
      </c>
      <c r="P26" s="140"/>
    </row>
  </sheetData>
  <mergeCells count="12">
    <mergeCell ref="H9:K9"/>
    <mergeCell ref="L9:O9"/>
    <mergeCell ref="M1:P1"/>
    <mergeCell ref="M2:P2"/>
    <mergeCell ref="M3:P3"/>
    <mergeCell ref="A6:P6"/>
    <mergeCell ref="A8:A10"/>
    <mergeCell ref="B8:B10"/>
    <mergeCell ref="C8:C10"/>
    <mergeCell ref="D8:O8"/>
    <mergeCell ref="P8:P10"/>
    <mergeCell ref="D9:G9"/>
  </mergeCells>
  <printOptions/>
  <pageMargins left="0.4724409448818898" right="0.35433070866141736" top="0.7086614173228347" bottom="0.35433070866141736" header="0.31496062992125984" footer="0.1968503937007874"/>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tabSelected="1" zoomScale="90" zoomScaleNormal="90" workbookViewId="0" topLeftCell="A1">
      <selection activeCell="B4" sqref="B4"/>
    </sheetView>
  </sheetViews>
  <sheetFormatPr defaultColWidth="14.75390625" defaultRowHeight="12.75"/>
  <cols>
    <col min="1" max="1" width="8.25390625" style="178" customWidth="1"/>
    <col min="2" max="2" width="53.125" style="178" customWidth="1"/>
    <col min="3" max="3" width="12.75390625" style="178" customWidth="1"/>
    <col min="4" max="4" width="14.375" style="178" customWidth="1"/>
    <col min="5" max="5" width="13.875" style="178" customWidth="1"/>
    <col min="6" max="6" width="32.25390625" style="178" customWidth="1"/>
    <col min="7" max="256" width="14.75390625" style="178" customWidth="1"/>
    <col min="257" max="257" width="8.25390625" style="178" customWidth="1"/>
    <col min="258" max="258" width="53.125" style="178" customWidth="1"/>
    <col min="259" max="259" width="18.00390625" style="178" customWidth="1"/>
    <col min="260" max="261" width="17.625" style="178" customWidth="1"/>
    <col min="262" max="262" width="32.25390625" style="178" customWidth="1"/>
    <col min="263" max="512" width="14.75390625" style="178" customWidth="1"/>
    <col min="513" max="513" width="8.25390625" style="178" customWidth="1"/>
    <col min="514" max="514" width="53.125" style="178" customWidth="1"/>
    <col min="515" max="515" width="18.00390625" style="178" customWidth="1"/>
    <col min="516" max="517" width="17.625" style="178" customWidth="1"/>
    <col min="518" max="518" width="32.25390625" style="178" customWidth="1"/>
    <col min="519" max="768" width="14.75390625" style="178" customWidth="1"/>
    <col min="769" max="769" width="8.25390625" style="178" customWidth="1"/>
    <col min="770" max="770" width="53.125" style="178" customWidth="1"/>
    <col min="771" max="771" width="18.00390625" style="178" customWidth="1"/>
    <col min="772" max="773" width="17.625" style="178" customWidth="1"/>
    <col min="774" max="774" width="32.25390625" style="178" customWidth="1"/>
    <col min="775" max="1024" width="14.75390625" style="178" customWidth="1"/>
    <col min="1025" max="1025" width="8.25390625" style="178" customWidth="1"/>
    <col min="1026" max="1026" width="53.125" style="178" customWidth="1"/>
    <col min="1027" max="1027" width="18.00390625" style="178" customWidth="1"/>
    <col min="1028" max="1029" width="17.625" style="178" customWidth="1"/>
    <col min="1030" max="1030" width="32.25390625" style="178" customWidth="1"/>
    <col min="1031" max="1280" width="14.75390625" style="178" customWidth="1"/>
    <col min="1281" max="1281" width="8.25390625" style="178" customWidth="1"/>
    <col min="1282" max="1282" width="53.125" style="178" customWidth="1"/>
    <col min="1283" max="1283" width="18.00390625" style="178" customWidth="1"/>
    <col min="1284" max="1285" width="17.625" style="178" customWidth="1"/>
    <col min="1286" max="1286" width="32.25390625" style="178" customWidth="1"/>
    <col min="1287" max="1536" width="14.75390625" style="178" customWidth="1"/>
    <col min="1537" max="1537" width="8.25390625" style="178" customWidth="1"/>
    <col min="1538" max="1538" width="53.125" style="178" customWidth="1"/>
    <col min="1539" max="1539" width="18.00390625" style="178" customWidth="1"/>
    <col min="1540" max="1541" width="17.625" style="178" customWidth="1"/>
    <col min="1542" max="1542" width="32.25390625" style="178" customWidth="1"/>
    <col min="1543" max="1792" width="14.75390625" style="178" customWidth="1"/>
    <col min="1793" max="1793" width="8.25390625" style="178" customWidth="1"/>
    <col min="1794" max="1794" width="53.125" style="178" customWidth="1"/>
    <col min="1795" max="1795" width="18.00390625" style="178" customWidth="1"/>
    <col min="1796" max="1797" width="17.625" style="178" customWidth="1"/>
    <col min="1798" max="1798" width="32.25390625" style="178" customWidth="1"/>
    <col min="1799" max="2048" width="14.75390625" style="178" customWidth="1"/>
    <col min="2049" max="2049" width="8.25390625" style="178" customWidth="1"/>
    <col min="2050" max="2050" width="53.125" style="178" customWidth="1"/>
    <col min="2051" max="2051" width="18.00390625" style="178" customWidth="1"/>
    <col min="2052" max="2053" width="17.625" style="178" customWidth="1"/>
    <col min="2054" max="2054" width="32.25390625" style="178" customWidth="1"/>
    <col min="2055" max="2304" width="14.75390625" style="178" customWidth="1"/>
    <col min="2305" max="2305" width="8.25390625" style="178" customWidth="1"/>
    <col min="2306" max="2306" width="53.125" style="178" customWidth="1"/>
    <col min="2307" max="2307" width="18.00390625" style="178" customWidth="1"/>
    <col min="2308" max="2309" width="17.625" style="178" customWidth="1"/>
    <col min="2310" max="2310" width="32.25390625" style="178" customWidth="1"/>
    <col min="2311" max="2560" width="14.75390625" style="178" customWidth="1"/>
    <col min="2561" max="2561" width="8.25390625" style="178" customWidth="1"/>
    <col min="2562" max="2562" width="53.125" style="178" customWidth="1"/>
    <col min="2563" max="2563" width="18.00390625" style="178" customWidth="1"/>
    <col min="2564" max="2565" width="17.625" style="178" customWidth="1"/>
    <col min="2566" max="2566" width="32.25390625" style="178" customWidth="1"/>
    <col min="2567" max="2816" width="14.75390625" style="178" customWidth="1"/>
    <col min="2817" max="2817" width="8.25390625" style="178" customWidth="1"/>
    <col min="2818" max="2818" width="53.125" style="178" customWidth="1"/>
    <col min="2819" max="2819" width="18.00390625" style="178" customWidth="1"/>
    <col min="2820" max="2821" width="17.625" style="178" customWidth="1"/>
    <col min="2822" max="2822" width="32.25390625" style="178" customWidth="1"/>
    <col min="2823" max="3072" width="14.75390625" style="178" customWidth="1"/>
    <col min="3073" max="3073" width="8.25390625" style="178" customWidth="1"/>
    <col min="3074" max="3074" width="53.125" style="178" customWidth="1"/>
    <col min="3075" max="3075" width="18.00390625" style="178" customWidth="1"/>
    <col min="3076" max="3077" width="17.625" style="178" customWidth="1"/>
    <col min="3078" max="3078" width="32.25390625" style="178" customWidth="1"/>
    <col min="3079" max="3328" width="14.75390625" style="178" customWidth="1"/>
    <col min="3329" max="3329" width="8.25390625" style="178" customWidth="1"/>
    <col min="3330" max="3330" width="53.125" style="178" customWidth="1"/>
    <col min="3331" max="3331" width="18.00390625" style="178" customWidth="1"/>
    <col min="3332" max="3333" width="17.625" style="178" customWidth="1"/>
    <col min="3334" max="3334" width="32.25390625" style="178" customWidth="1"/>
    <col min="3335" max="3584" width="14.75390625" style="178" customWidth="1"/>
    <col min="3585" max="3585" width="8.25390625" style="178" customWidth="1"/>
    <col min="3586" max="3586" width="53.125" style="178" customWidth="1"/>
    <col min="3587" max="3587" width="18.00390625" style="178" customWidth="1"/>
    <col min="3588" max="3589" width="17.625" style="178" customWidth="1"/>
    <col min="3590" max="3590" width="32.25390625" style="178" customWidth="1"/>
    <col min="3591" max="3840" width="14.75390625" style="178" customWidth="1"/>
    <col min="3841" max="3841" width="8.25390625" style="178" customWidth="1"/>
    <col min="3842" max="3842" width="53.125" style="178" customWidth="1"/>
    <col min="3843" max="3843" width="18.00390625" style="178" customWidth="1"/>
    <col min="3844" max="3845" width="17.625" style="178" customWidth="1"/>
    <col min="3846" max="3846" width="32.25390625" style="178" customWidth="1"/>
    <col min="3847" max="4096" width="14.75390625" style="178" customWidth="1"/>
    <col min="4097" max="4097" width="8.25390625" style="178" customWidth="1"/>
    <col min="4098" max="4098" width="53.125" style="178" customWidth="1"/>
    <col min="4099" max="4099" width="18.00390625" style="178" customWidth="1"/>
    <col min="4100" max="4101" width="17.625" style="178" customWidth="1"/>
    <col min="4102" max="4102" width="32.25390625" style="178" customWidth="1"/>
    <col min="4103" max="4352" width="14.75390625" style="178" customWidth="1"/>
    <col min="4353" max="4353" width="8.25390625" style="178" customWidth="1"/>
    <col min="4354" max="4354" width="53.125" style="178" customWidth="1"/>
    <col min="4355" max="4355" width="18.00390625" style="178" customWidth="1"/>
    <col min="4356" max="4357" width="17.625" style="178" customWidth="1"/>
    <col min="4358" max="4358" width="32.25390625" style="178" customWidth="1"/>
    <col min="4359" max="4608" width="14.75390625" style="178" customWidth="1"/>
    <col min="4609" max="4609" width="8.25390625" style="178" customWidth="1"/>
    <col min="4610" max="4610" width="53.125" style="178" customWidth="1"/>
    <col min="4611" max="4611" width="18.00390625" style="178" customWidth="1"/>
    <col min="4612" max="4613" width="17.625" style="178" customWidth="1"/>
    <col min="4614" max="4614" width="32.25390625" style="178" customWidth="1"/>
    <col min="4615" max="4864" width="14.75390625" style="178" customWidth="1"/>
    <col min="4865" max="4865" width="8.25390625" style="178" customWidth="1"/>
    <col min="4866" max="4866" width="53.125" style="178" customWidth="1"/>
    <col min="4867" max="4867" width="18.00390625" style="178" customWidth="1"/>
    <col min="4868" max="4869" width="17.625" style="178" customWidth="1"/>
    <col min="4870" max="4870" width="32.25390625" style="178" customWidth="1"/>
    <col min="4871" max="5120" width="14.75390625" style="178" customWidth="1"/>
    <col min="5121" max="5121" width="8.25390625" style="178" customWidth="1"/>
    <col min="5122" max="5122" width="53.125" style="178" customWidth="1"/>
    <col min="5123" max="5123" width="18.00390625" style="178" customWidth="1"/>
    <col min="5124" max="5125" width="17.625" style="178" customWidth="1"/>
    <col min="5126" max="5126" width="32.25390625" style="178" customWidth="1"/>
    <col min="5127" max="5376" width="14.75390625" style="178" customWidth="1"/>
    <col min="5377" max="5377" width="8.25390625" style="178" customWidth="1"/>
    <col min="5378" max="5378" width="53.125" style="178" customWidth="1"/>
    <col min="5379" max="5379" width="18.00390625" style="178" customWidth="1"/>
    <col min="5380" max="5381" width="17.625" style="178" customWidth="1"/>
    <col min="5382" max="5382" width="32.25390625" style="178" customWidth="1"/>
    <col min="5383" max="5632" width="14.75390625" style="178" customWidth="1"/>
    <col min="5633" max="5633" width="8.25390625" style="178" customWidth="1"/>
    <col min="5634" max="5634" width="53.125" style="178" customWidth="1"/>
    <col min="5635" max="5635" width="18.00390625" style="178" customWidth="1"/>
    <col min="5636" max="5637" width="17.625" style="178" customWidth="1"/>
    <col min="5638" max="5638" width="32.25390625" style="178" customWidth="1"/>
    <col min="5639" max="5888" width="14.75390625" style="178" customWidth="1"/>
    <col min="5889" max="5889" width="8.25390625" style="178" customWidth="1"/>
    <col min="5890" max="5890" width="53.125" style="178" customWidth="1"/>
    <col min="5891" max="5891" width="18.00390625" style="178" customWidth="1"/>
    <col min="5892" max="5893" width="17.625" style="178" customWidth="1"/>
    <col min="5894" max="5894" width="32.25390625" style="178" customWidth="1"/>
    <col min="5895" max="6144" width="14.75390625" style="178" customWidth="1"/>
    <col min="6145" max="6145" width="8.25390625" style="178" customWidth="1"/>
    <col min="6146" max="6146" width="53.125" style="178" customWidth="1"/>
    <col min="6147" max="6147" width="18.00390625" style="178" customWidth="1"/>
    <col min="6148" max="6149" width="17.625" style="178" customWidth="1"/>
    <col min="6150" max="6150" width="32.25390625" style="178" customWidth="1"/>
    <col min="6151" max="6400" width="14.75390625" style="178" customWidth="1"/>
    <col min="6401" max="6401" width="8.25390625" style="178" customWidth="1"/>
    <col min="6402" max="6402" width="53.125" style="178" customWidth="1"/>
    <col min="6403" max="6403" width="18.00390625" style="178" customWidth="1"/>
    <col min="6404" max="6405" width="17.625" style="178" customWidth="1"/>
    <col min="6406" max="6406" width="32.25390625" style="178" customWidth="1"/>
    <col min="6407" max="6656" width="14.75390625" style="178" customWidth="1"/>
    <col min="6657" max="6657" width="8.25390625" style="178" customWidth="1"/>
    <col min="6658" max="6658" width="53.125" style="178" customWidth="1"/>
    <col min="6659" max="6659" width="18.00390625" style="178" customWidth="1"/>
    <col min="6660" max="6661" width="17.625" style="178" customWidth="1"/>
    <col min="6662" max="6662" width="32.25390625" style="178" customWidth="1"/>
    <col min="6663" max="6912" width="14.75390625" style="178" customWidth="1"/>
    <col min="6913" max="6913" width="8.25390625" style="178" customWidth="1"/>
    <col min="6914" max="6914" width="53.125" style="178" customWidth="1"/>
    <col min="6915" max="6915" width="18.00390625" style="178" customWidth="1"/>
    <col min="6916" max="6917" width="17.625" style="178" customWidth="1"/>
    <col min="6918" max="6918" width="32.25390625" style="178" customWidth="1"/>
    <col min="6919" max="7168" width="14.75390625" style="178" customWidth="1"/>
    <col min="7169" max="7169" width="8.25390625" style="178" customWidth="1"/>
    <col min="7170" max="7170" width="53.125" style="178" customWidth="1"/>
    <col min="7171" max="7171" width="18.00390625" style="178" customWidth="1"/>
    <col min="7172" max="7173" width="17.625" style="178" customWidth="1"/>
    <col min="7174" max="7174" width="32.25390625" style="178" customWidth="1"/>
    <col min="7175" max="7424" width="14.75390625" style="178" customWidth="1"/>
    <col min="7425" max="7425" width="8.25390625" style="178" customWidth="1"/>
    <col min="7426" max="7426" width="53.125" style="178" customWidth="1"/>
    <col min="7427" max="7427" width="18.00390625" style="178" customWidth="1"/>
    <col min="7428" max="7429" width="17.625" style="178" customWidth="1"/>
    <col min="7430" max="7430" width="32.25390625" style="178" customWidth="1"/>
    <col min="7431" max="7680" width="14.75390625" style="178" customWidth="1"/>
    <col min="7681" max="7681" width="8.25390625" style="178" customWidth="1"/>
    <col min="7682" max="7682" width="53.125" style="178" customWidth="1"/>
    <col min="7683" max="7683" width="18.00390625" style="178" customWidth="1"/>
    <col min="7684" max="7685" width="17.625" style="178" customWidth="1"/>
    <col min="7686" max="7686" width="32.25390625" style="178" customWidth="1"/>
    <col min="7687" max="7936" width="14.75390625" style="178" customWidth="1"/>
    <col min="7937" max="7937" width="8.25390625" style="178" customWidth="1"/>
    <col min="7938" max="7938" width="53.125" style="178" customWidth="1"/>
    <col min="7939" max="7939" width="18.00390625" style="178" customWidth="1"/>
    <col min="7940" max="7941" width="17.625" style="178" customWidth="1"/>
    <col min="7942" max="7942" width="32.25390625" style="178" customWidth="1"/>
    <col min="7943" max="8192" width="14.75390625" style="178" customWidth="1"/>
    <col min="8193" max="8193" width="8.25390625" style="178" customWidth="1"/>
    <col min="8194" max="8194" width="53.125" style="178" customWidth="1"/>
    <col min="8195" max="8195" width="18.00390625" style="178" customWidth="1"/>
    <col min="8196" max="8197" width="17.625" style="178" customWidth="1"/>
    <col min="8198" max="8198" width="32.25390625" style="178" customWidth="1"/>
    <col min="8199" max="8448" width="14.75390625" style="178" customWidth="1"/>
    <col min="8449" max="8449" width="8.25390625" style="178" customWidth="1"/>
    <col min="8450" max="8450" width="53.125" style="178" customWidth="1"/>
    <col min="8451" max="8451" width="18.00390625" style="178" customWidth="1"/>
    <col min="8452" max="8453" width="17.625" style="178" customWidth="1"/>
    <col min="8454" max="8454" width="32.25390625" style="178" customWidth="1"/>
    <col min="8455" max="8704" width="14.75390625" style="178" customWidth="1"/>
    <col min="8705" max="8705" width="8.25390625" style="178" customWidth="1"/>
    <col min="8706" max="8706" width="53.125" style="178" customWidth="1"/>
    <col min="8707" max="8707" width="18.00390625" style="178" customWidth="1"/>
    <col min="8708" max="8709" width="17.625" style="178" customWidth="1"/>
    <col min="8710" max="8710" width="32.25390625" style="178" customWidth="1"/>
    <col min="8711" max="8960" width="14.75390625" style="178" customWidth="1"/>
    <col min="8961" max="8961" width="8.25390625" style="178" customWidth="1"/>
    <col min="8962" max="8962" width="53.125" style="178" customWidth="1"/>
    <col min="8963" max="8963" width="18.00390625" style="178" customWidth="1"/>
    <col min="8964" max="8965" width="17.625" style="178" customWidth="1"/>
    <col min="8966" max="8966" width="32.25390625" style="178" customWidth="1"/>
    <col min="8967" max="9216" width="14.75390625" style="178" customWidth="1"/>
    <col min="9217" max="9217" width="8.25390625" style="178" customWidth="1"/>
    <col min="9218" max="9218" width="53.125" style="178" customWidth="1"/>
    <col min="9219" max="9219" width="18.00390625" style="178" customWidth="1"/>
    <col min="9220" max="9221" width="17.625" style="178" customWidth="1"/>
    <col min="9222" max="9222" width="32.25390625" style="178" customWidth="1"/>
    <col min="9223" max="9472" width="14.75390625" style="178" customWidth="1"/>
    <col min="9473" max="9473" width="8.25390625" style="178" customWidth="1"/>
    <col min="9474" max="9474" width="53.125" style="178" customWidth="1"/>
    <col min="9475" max="9475" width="18.00390625" style="178" customWidth="1"/>
    <col min="9476" max="9477" width="17.625" style="178" customWidth="1"/>
    <col min="9478" max="9478" width="32.25390625" style="178" customWidth="1"/>
    <col min="9479" max="9728" width="14.75390625" style="178" customWidth="1"/>
    <col min="9729" max="9729" width="8.25390625" style="178" customWidth="1"/>
    <col min="9730" max="9730" width="53.125" style="178" customWidth="1"/>
    <col min="9731" max="9731" width="18.00390625" style="178" customWidth="1"/>
    <col min="9732" max="9733" width="17.625" style="178" customWidth="1"/>
    <col min="9734" max="9734" width="32.25390625" style="178" customWidth="1"/>
    <col min="9735" max="9984" width="14.75390625" style="178" customWidth="1"/>
    <col min="9985" max="9985" width="8.25390625" style="178" customWidth="1"/>
    <col min="9986" max="9986" width="53.125" style="178" customWidth="1"/>
    <col min="9987" max="9987" width="18.00390625" style="178" customWidth="1"/>
    <col min="9988" max="9989" width="17.625" style="178" customWidth="1"/>
    <col min="9990" max="9990" width="32.25390625" style="178" customWidth="1"/>
    <col min="9991" max="10240" width="14.75390625" style="178" customWidth="1"/>
    <col min="10241" max="10241" width="8.25390625" style="178" customWidth="1"/>
    <col min="10242" max="10242" width="53.125" style="178" customWidth="1"/>
    <col min="10243" max="10243" width="18.00390625" style="178" customWidth="1"/>
    <col min="10244" max="10245" width="17.625" style="178" customWidth="1"/>
    <col min="10246" max="10246" width="32.25390625" style="178" customWidth="1"/>
    <col min="10247" max="10496" width="14.75390625" style="178" customWidth="1"/>
    <col min="10497" max="10497" width="8.25390625" style="178" customWidth="1"/>
    <col min="10498" max="10498" width="53.125" style="178" customWidth="1"/>
    <col min="10499" max="10499" width="18.00390625" style="178" customWidth="1"/>
    <col min="10500" max="10501" width="17.625" style="178" customWidth="1"/>
    <col min="10502" max="10502" width="32.25390625" style="178" customWidth="1"/>
    <col min="10503" max="10752" width="14.75390625" style="178" customWidth="1"/>
    <col min="10753" max="10753" width="8.25390625" style="178" customWidth="1"/>
    <col min="10754" max="10754" width="53.125" style="178" customWidth="1"/>
    <col min="10755" max="10755" width="18.00390625" style="178" customWidth="1"/>
    <col min="10756" max="10757" width="17.625" style="178" customWidth="1"/>
    <col min="10758" max="10758" width="32.25390625" style="178" customWidth="1"/>
    <col min="10759" max="11008" width="14.75390625" style="178" customWidth="1"/>
    <col min="11009" max="11009" width="8.25390625" style="178" customWidth="1"/>
    <col min="11010" max="11010" width="53.125" style="178" customWidth="1"/>
    <col min="11011" max="11011" width="18.00390625" style="178" customWidth="1"/>
    <col min="11012" max="11013" width="17.625" style="178" customWidth="1"/>
    <col min="11014" max="11014" width="32.25390625" style="178" customWidth="1"/>
    <col min="11015" max="11264" width="14.75390625" style="178" customWidth="1"/>
    <col min="11265" max="11265" width="8.25390625" style="178" customWidth="1"/>
    <col min="11266" max="11266" width="53.125" style="178" customWidth="1"/>
    <col min="11267" max="11267" width="18.00390625" style="178" customWidth="1"/>
    <col min="11268" max="11269" width="17.625" style="178" customWidth="1"/>
    <col min="11270" max="11270" width="32.25390625" style="178" customWidth="1"/>
    <col min="11271" max="11520" width="14.75390625" style="178" customWidth="1"/>
    <col min="11521" max="11521" width="8.25390625" style="178" customWidth="1"/>
    <col min="11522" max="11522" width="53.125" style="178" customWidth="1"/>
    <col min="11523" max="11523" width="18.00390625" style="178" customWidth="1"/>
    <col min="11524" max="11525" width="17.625" style="178" customWidth="1"/>
    <col min="11526" max="11526" width="32.25390625" style="178" customWidth="1"/>
    <col min="11527" max="11776" width="14.75390625" style="178" customWidth="1"/>
    <col min="11777" max="11777" width="8.25390625" style="178" customWidth="1"/>
    <col min="11778" max="11778" width="53.125" style="178" customWidth="1"/>
    <col min="11779" max="11779" width="18.00390625" style="178" customWidth="1"/>
    <col min="11780" max="11781" width="17.625" style="178" customWidth="1"/>
    <col min="11782" max="11782" width="32.25390625" style="178" customWidth="1"/>
    <col min="11783" max="12032" width="14.75390625" style="178" customWidth="1"/>
    <col min="12033" max="12033" width="8.25390625" style="178" customWidth="1"/>
    <col min="12034" max="12034" width="53.125" style="178" customWidth="1"/>
    <col min="12035" max="12035" width="18.00390625" style="178" customWidth="1"/>
    <col min="12036" max="12037" width="17.625" style="178" customWidth="1"/>
    <col min="12038" max="12038" width="32.25390625" style="178" customWidth="1"/>
    <col min="12039" max="12288" width="14.75390625" style="178" customWidth="1"/>
    <col min="12289" max="12289" width="8.25390625" style="178" customWidth="1"/>
    <col min="12290" max="12290" width="53.125" style="178" customWidth="1"/>
    <col min="12291" max="12291" width="18.00390625" style="178" customWidth="1"/>
    <col min="12292" max="12293" width="17.625" style="178" customWidth="1"/>
    <col min="12294" max="12294" width="32.25390625" style="178" customWidth="1"/>
    <col min="12295" max="12544" width="14.75390625" style="178" customWidth="1"/>
    <col min="12545" max="12545" width="8.25390625" style="178" customWidth="1"/>
    <col min="12546" max="12546" width="53.125" style="178" customWidth="1"/>
    <col min="12547" max="12547" width="18.00390625" style="178" customWidth="1"/>
    <col min="12548" max="12549" width="17.625" style="178" customWidth="1"/>
    <col min="12550" max="12550" width="32.25390625" style="178" customWidth="1"/>
    <col min="12551" max="12800" width="14.75390625" style="178" customWidth="1"/>
    <col min="12801" max="12801" width="8.25390625" style="178" customWidth="1"/>
    <col min="12802" max="12802" width="53.125" style="178" customWidth="1"/>
    <col min="12803" max="12803" width="18.00390625" style="178" customWidth="1"/>
    <col min="12804" max="12805" width="17.625" style="178" customWidth="1"/>
    <col min="12806" max="12806" width="32.25390625" style="178" customWidth="1"/>
    <col min="12807" max="13056" width="14.75390625" style="178" customWidth="1"/>
    <col min="13057" max="13057" width="8.25390625" style="178" customWidth="1"/>
    <col min="13058" max="13058" width="53.125" style="178" customWidth="1"/>
    <col min="13059" max="13059" width="18.00390625" style="178" customWidth="1"/>
    <col min="13060" max="13061" width="17.625" style="178" customWidth="1"/>
    <col min="13062" max="13062" width="32.25390625" style="178" customWidth="1"/>
    <col min="13063" max="13312" width="14.75390625" style="178" customWidth="1"/>
    <col min="13313" max="13313" width="8.25390625" style="178" customWidth="1"/>
    <col min="13314" max="13314" width="53.125" style="178" customWidth="1"/>
    <col min="13315" max="13315" width="18.00390625" style="178" customWidth="1"/>
    <col min="13316" max="13317" width="17.625" style="178" customWidth="1"/>
    <col min="13318" max="13318" width="32.25390625" style="178" customWidth="1"/>
    <col min="13319" max="13568" width="14.75390625" style="178" customWidth="1"/>
    <col min="13569" max="13569" width="8.25390625" style="178" customWidth="1"/>
    <col min="13570" max="13570" width="53.125" style="178" customWidth="1"/>
    <col min="13571" max="13571" width="18.00390625" style="178" customWidth="1"/>
    <col min="13572" max="13573" width="17.625" style="178" customWidth="1"/>
    <col min="13574" max="13574" width="32.25390625" style="178" customWidth="1"/>
    <col min="13575" max="13824" width="14.75390625" style="178" customWidth="1"/>
    <col min="13825" max="13825" width="8.25390625" style="178" customWidth="1"/>
    <col min="13826" max="13826" width="53.125" style="178" customWidth="1"/>
    <col min="13827" max="13827" width="18.00390625" style="178" customWidth="1"/>
    <col min="13828" max="13829" width="17.625" style="178" customWidth="1"/>
    <col min="13830" max="13830" width="32.25390625" style="178" customWidth="1"/>
    <col min="13831" max="14080" width="14.75390625" style="178" customWidth="1"/>
    <col min="14081" max="14081" width="8.25390625" style="178" customWidth="1"/>
    <col min="14082" max="14082" width="53.125" style="178" customWidth="1"/>
    <col min="14083" max="14083" width="18.00390625" style="178" customWidth="1"/>
    <col min="14084" max="14085" width="17.625" style="178" customWidth="1"/>
    <col min="14086" max="14086" width="32.25390625" style="178" customWidth="1"/>
    <col min="14087" max="14336" width="14.75390625" style="178" customWidth="1"/>
    <col min="14337" max="14337" width="8.25390625" style="178" customWidth="1"/>
    <col min="14338" max="14338" width="53.125" style="178" customWidth="1"/>
    <col min="14339" max="14339" width="18.00390625" style="178" customWidth="1"/>
    <col min="14340" max="14341" width="17.625" style="178" customWidth="1"/>
    <col min="14342" max="14342" width="32.25390625" style="178" customWidth="1"/>
    <col min="14343" max="14592" width="14.75390625" style="178" customWidth="1"/>
    <col min="14593" max="14593" width="8.25390625" style="178" customWidth="1"/>
    <col min="14594" max="14594" width="53.125" style="178" customWidth="1"/>
    <col min="14595" max="14595" width="18.00390625" style="178" customWidth="1"/>
    <col min="14596" max="14597" width="17.625" style="178" customWidth="1"/>
    <col min="14598" max="14598" width="32.25390625" style="178" customWidth="1"/>
    <col min="14599" max="14848" width="14.75390625" style="178" customWidth="1"/>
    <col min="14849" max="14849" width="8.25390625" style="178" customWidth="1"/>
    <col min="14850" max="14850" width="53.125" style="178" customWidth="1"/>
    <col min="14851" max="14851" width="18.00390625" style="178" customWidth="1"/>
    <col min="14852" max="14853" width="17.625" style="178" customWidth="1"/>
    <col min="14854" max="14854" width="32.25390625" style="178" customWidth="1"/>
    <col min="14855" max="15104" width="14.75390625" style="178" customWidth="1"/>
    <col min="15105" max="15105" width="8.25390625" style="178" customWidth="1"/>
    <col min="15106" max="15106" width="53.125" style="178" customWidth="1"/>
    <col min="15107" max="15107" width="18.00390625" style="178" customWidth="1"/>
    <col min="15108" max="15109" width="17.625" style="178" customWidth="1"/>
    <col min="15110" max="15110" width="32.25390625" style="178" customWidth="1"/>
    <col min="15111" max="15360" width="14.75390625" style="178" customWidth="1"/>
    <col min="15361" max="15361" width="8.25390625" style="178" customWidth="1"/>
    <col min="15362" max="15362" width="53.125" style="178" customWidth="1"/>
    <col min="15363" max="15363" width="18.00390625" style="178" customWidth="1"/>
    <col min="15364" max="15365" width="17.625" style="178" customWidth="1"/>
    <col min="15366" max="15366" width="32.25390625" style="178" customWidth="1"/>
    <col min="15367" max="15616" width="14.75390625" style="178" customWidth="1"/>
    <col min="15617" max="15617" width="8.25390625" style="178" customWidth="1"/>
    <col min="15618" max="15618" width="53.125" style="178" customWidth="1"/>
    <col min="15619" max="15619" width="18.00390625" style="178" customWidth="1"/>
    <col min="15620" max="15621" width="17.625" style="178" customWidth="1"/>
    <col min="15622" max="15622" width="32.25390625" style="178" customWidth="1"/>
    <col min="15623" max="15872" width="14.75390625" style="178" customWidth="1"/>
    <col min="15873" max="15873" width="8.25390625" style="178" customWidth="1"/>
    <col min="15874" max="15874" width="53.125" style="178" customWidth="1"/>
    <col min="15875" max="15875" width="18.00390625" style="178" customWidth="1"/>
    <col min="15876" max="15877" width="17.625" style="178" customWidth="1"/>
    <col min="15878" max="15878" width="32.25390625" style="178" customWidth="1"/>
    <col min="15879" max="16128" width="14.75390625" style="178" customWidth="1"/>
    <col min="16129" max="16129" width="8.25390625" style="178" customWidth="1"/>
    <col min="16130" max="16130" width="53.125" style="178" customWidth="1"/>
    <col min="16131" max="16131" width="18.00390625" style="178" customWidth="1"/>
    <col min="16132" max="16133" width="17.625" style="178" customWidth="1"/>
    <col min="16134" max="16134" width="32.25390625" style="178" customWidth="1"/>
    <col min="16135" max="16384" width="14.75390625" style="178" customWidth="1"/>
  </cols>
  <sheetData>
    <row r="1" spans="4:5" ht="12.75">
      <c r="D1" s="300" t="s">
        <v>468</v>
      </c>
      <c r="E1" s="300"/>
    </row>
    <row r="2" spans="2:6" ht="19.5" customHeight="1">
      <c r="B2" s="301" t="s">
        <v>726</v>
      </c>
      <c r="C2" s="301"/>
      <c r="D2" s="301"/>
      <c r="E2" s="301"/>
      <c r="F2" s="179"/>
    </row>
    <row r="3" spans="2:5" ht="12.75">
      <c r="B3" s="300" t="s">
        <v>721</v>
      </c>
      <c r="C3" s="300"/>
      <c r="D3" s="300"/>
      <c r="E3" s="300"/>
    </row>
    <row r="4" spans="2:5" ht="12.75">
      <c r="B4" s="180"/>
      <c r="C4" s="180"/>
      <c r="D4" s="180"/>
      <c r="E4" s="180"/>
    </row>
    <row r="5" spans="1:5" ht="55.5" customHeight="1">
      <c r="A5" s="302" t="s">
        <v>443</v>
      </c>
      <c r="B5" s="302"/>
      <c r="C5" s="302"/>
      <c r="D5" s="302"/>
      <c r="E5" s="302"/>
    </row>
    <row r="6" spans="1:5" ht="14.25" customHeight="1">
      <c r="A6" s="303"/>
      <c r="B6" s="303"/>
      <c r="C6" s="303"/>
      <c r="D6" s="303"/>
      <c r="E6" s="303"/>
    </row>
    <row r="7" spans="1:5" ht="16.5" customHeight="1">
      <c r="A7" s="181" t="s">
        <v>444</v>
      </c>
      <c r="B7" s="181" t="s">
        <v>445</v>
      </c>
      <c r="C7" s="181"/>
      <c r="D7" s="181"/>
      <c r="E7" s="182"/>
    </row>
    <row r="8" spans="1:5" ht="12.75">
      <c r="A8" s="183"/>
      <c r="E8" s="184" t="s">
        <v>446</v>
      </c>
    </row>
    <row r="9" spans="1:5" s="185" customFormat="1" ht="33.6" customHeight="1">
      <c r="A9" s="297" t="s">
        <v>447</v>
      </c>
      <c r="B9" s="297" t="s">
        <v>448</v>
      </c>
      <c r="C9" s="299" t="s">
        <v>449</v>
      </c>
      <c r="D9" s="299"/>
      <c r="E9" s="299"/>
    </row>
    <row r="10" spans="1:5" s="185" customFormat="1" ht="12.75">
      <c r="A10" s="298"/>
      <c r="B10" s="298"/>
      <c r="C10" s="186" t="s">
        <v>98</v>
      </c>
      <c r="D10" s="186" t="s">
        <v>99</v>
      </c>
      <c r="E10" s="186" t="s">
        <v>119</v>
      </c>
    </row>
    <row r="11" spans="1:5" s="185" customFormat="1" ht="12.75">
      <c r="A11" s="147">
        <v>1</v>
      </c>
      <c r="B11" s="147">
        <v>2</v>
      </c>
      <c r="C11" s="147">
        <v>3</v>
      </c>
      <c r="D11" s="147">
        <v>4</v>
      </c>
      <c r="E11" s="147">
        <v>5</v>
      </c>
    </row>
    <row r="12" spans="1:5" ht="36" customHeight="1">
      <c r="A12" s="186">
        <v>1</v>
      </c>
      <c r="B12" s="187" t="s">
        <v>450</v>
      </c>
      <c r="C12" s="188">
        <v>14000</v>
      </c>
      <c r="D12" s="188">
        <v>0</v>
      </c>
      <c r="E12" s="188">
        <v>0</v>
      </c>
    </row>
    <row r="13" spans="1:5" ht="47.25">
      <c r="A13" s="186">
        <v>2</v>
      </c>
      <c r="B13" s="187" t="s">
        <v>461</v>
      </c>
      <c r="C13" s="153">
        <v>29098</v>
      </c>
      <c r="D13" s="153">
        <v>28039</v>
      </c>
      <c r="E13" s="153">
        <v>27123</v>
      </c>
    </row>
    <row r="14" spans="1:5" ht="20.45" customHeight="1">
      <c r="A14" s="186"/>
      <c r="B14" s="189" t="s">
        <v>451</v>
      </c>
      <c r="C14" s="190">
        <f>C12+C13</f>
        <v>43098</v>
      </c>
      <c r="D14" s="190">
        <f aca="true" t="shared" si="0" ref="D14:E14">D12+D13</f>
        <v>28039</v>
      </c>
      <c r="E14" s="190">
        <f t="shared" si="0"/>
        <v>27123</v>
      </c>
    </row>
    <row r="15" spans="3:5" ht="12.75">
      <c r="C15" s="184"/>
      <c r="D15" s="184"/>
      <c r="E15" s="184"/>
    </row>
    <row r="16" spans="1:6" ht="52.9" customHeight="1">
      <c r="A16" s="294" t="s">
        <v>452</v>
      </c>
      <c r="B16" s="294"/>
      <c r="C16" s="294"/>
      <c r="D16" s="294"/>
      <c r="E16" s="294"/>
      <c r="F16" s="191"/>
    </row>
    <row r="17" spans="1:6" ht="6" customHeight="1">
      <c r="A17" s="295"/>
      <c r="B17" s="295"/>
      <c r="C17" s="295"/>
      <c r="D17" s="295"/>
      <c r="E17" s="295"/>
      <c r="F17" s="52"/>
    </row>
    <row r="18" spans="1:5" ht="16.5" customHeight="1">
      <c r="A18" s="296" t="s">
        <v>453</v>
      </c>
      <c r="B18" s="296"/>
      <c r="C18" s="296"/>
      <c r="D18" s="296"/>
      <c r="E18" s="296"/>
    </row>
    <row r="19" ht="12.75">
      <c r="E19" s="178" t="s">
        <v>446</v>
      </c>
    </row>
    <row r="20" spans="1:5" s="185" customFormat="1" ht="12.75">
      <c r="A20" s="297" t="s">
        <v>454</v>
      </c>
      <c r="B20" s="297" t="s">
        <v>455</v>
      </c>
      <c r="C20" s="299" t="s">
        <v>456</v>
      </c>
      <c r="D20" s="299"/>
      <c r="E20" s="299"/>
    </row>
    <row r="21" spans="1:5" s="185" customFormat="1" ht="12.75">
      <c r="A21" s="298"/>
      <c r="B21" s="298"/>
      <c r="C21" s="186" t="s">
        <v>98</v>
      </c>
      <c r="D21" s="186" t="s">
        <v>99</v>
      </c>
      <c r="E21" s="186" t="s">
        <v>119</v>
      </c>
    </row>
    <row r="22" spans="1:5" s="185" customFormat="1" ht="12.75">
      <c r="A22" s="147">
        <v>1</v>
      </c>
      <c r="B22" s="147">
        <v>2</v>
      </c>
      <c r="C22" s="147">
        <v>3</v>
      </c>
      <c r="D22" s="147">
        <v>4</v>
      </c>
      <c r="E22" s="147">
        <v>5</v>
      </c>
    </row>
    <row r="23" spans="1:5" ht="31.5">
      <c r="A23" s="192">
        <v>1</v>
      </c>
      <c r="B23" s="193" t="s">
        <v>457</v>
      </c>
      <c r="C23" s="194">
        <f>C25+C26</f>
        <v>39098</v>
      </c>
      <c r="D23" s="194">
        <f aca="true" t="shared" si="1" ref="D23:E23">D25+D26</f>
        <v>35039</v>
      </c>
      <c r="E23" s="194">
        <f t="shared" si="1"/>
        <v>34123</v>
      </c>
    </row>
    <row r="24" spans="1:5" ht="12.75">
      <c r="A24" s="195"/>
      <c r="B24" s="193" t="s">
        <v>458</v>
      </c>
      <c r="C24" s="192"/>
      <c r="D24" s="194"/>
      <c r="E24" s="194"/>
    </row>
    <row r="25" spans="1:5" ht="24" customHeight="1">
      <c r="A25" s="195"/>
      <c r="B25" s="193" t="s">
        <v>459</v>
      </c>
      <c r="C25" s="194">
        <v>10000</v>
      </c>
      <c r="D25" s="194">
        <v>7000</v>
      </c>
      <c r="E25" s="194">
        <v>7000</v>
      </c>
    </row>
    <row r="26" spans="1:5" ht="47.25">
      <c r="A26" s="195"/>
      <c r="B26" s="187" t="s">
        <v>460</v>
      </c>
      <c r="C26" s="153">
        <v>29098</v>
      </c>
      <c r="D26" s="153">
        <v>28039</v>
      </c>
      <c r="E26" s="153">
        <v>27123</v>
      </c>
    </row>
    <row r="27" spans="1:5" ht="21" customHeight="1">
      <c r="A27" s="195"/>
      <c r="B27" s="196" t="s">
        <v>451</v>
      </c>
      <c r="C27" s="197">
        <f>C23</f>
        <v>39098</v>
      </c>
      <c r="D27" s="197">
        <f>D23</f>
        <v>35039</v>
      </c>
      <c r="E27" s="197">
        <f>E23</f>
        <v>34123</v>
      </c>
    </row>
  </sheetData>
  <mergeCells count="14">
    <mergeCell ref="A9:A10"/>
    <mergeCell ref="B9:B10"/>
    <mergeCell ref="C9:E9"/>
    <mergeCell ref="D1:E1"/>
    <mergeCell ref="B2:E2"/>
    <mergeCell ref="B3:E3"/>
    <mergeCell ref="A5:E5"/>
    <mergeCell ref="A6:E6"/>
    <mergeCell ref="A16:E16"/>
    <mergeCell ref="A17:E17"/>
    <mergeCell ref="A18:E18"/>
    <mergeCell ref="A20:A21"/>
    <mergeCell ref="B20:B21"/>
    <mergeCell ref="C20:E20"/>
  </mergeCells>
  <printOptions/>
  <pageMargins left="0.7874015748031497" right="0.3937007874015748" top="0.35433070866141736" bottom="0.35433070866141736" header="0.31496062992125984" footer="0.3149606299212598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 и ЭА Администрация города Торжка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Маслобойщикова</dc:creator>
  <cp:keywords/>
  <dc:description/>
  <cp:lastModifiedBy>Vershinskaya</cp:lastModifiedBy>
  <cp:lastPrinted>2018-10-25T08:12:31Z</cp:lastPrinted>
  <dcterms:created xsi:type="dcterms:W3CDTF">2007-11-30T05:39:28Z</dcterms:created>
  <dcterms:modified xsi:type="dcterms:W3CDTF">2018-10-25T08:13:56Z</dcterms:modified>
  <cp:category/>
  <cp:version/>
  <cp:contentType/>
  <cp:contentStatus/>
</cp:coreProperties>
</file>